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lp9PN9ELLYrvQKVjK4WCAcnszG264ENlGdyqBzSUYMR2zLTeBOVPXJNILB6ouwh8Xnxs74CkN94AywBsUuaivQ==" workbookSaltValue="FvpmXakYlj3j04XjZKHp3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V16" i="11"/>
  <c r="BG25" i="11"/>
  <c r="Q18" i="20"/>
  <c r="Q23" i="20" s="1"/>
  <c r="BF18" i="11"/>
  <c r="BF17" i="11"/>
  <c r="BF10" i="11"/>
  <c r="BL12" i="11"/>
  <c r="S14" i="16"/>
  <c r="P14" i="16"/>
  <c r="F13" i="16"/>
  <c r="N30" i="16"/>
  <c r="H14" i="21"/>
  <c r="K26" i="2"/>
  <c r="K23" i="2"/>
  <c r="M14" i="2"/>
  <c r="N14" i="2"/>
  <c r="N23" i="2"/>
  <c r="K30" i="2"/>
  <c r="F30" i="17"/>
  <c r="F14" i="7"/>
  <c r="BK11" i="11"/>
  <c r="AZ18" i="11"/>
  <c r="AP10" i="21"/>
  <c r="AP21" i="20"/>
  <c r="BH20" i="16"/>
  <c r="BJ11" i="11"/>
  <c r="BH22" i="16"/>
  <c r="R10" i="21"/>
  <c r="R14" i="21" s="1"/>
  <c r="R31" i="21" s="1"/>
  <c r="BJ20" i="11"/>
  <c r="BG16" i="11"/>
  <c r="BH13" i="11"/>
  <c r="BL13" i="11"/>
  <c r="BH18" i="11"/>
  <c r="BM16" i="11"/>
  <c r="T18" i="16"/>
  <c r="AO28" i="17"/>
  <c r="BL29" i="11"/>
  <c r="BJ25" i="11"/>
  <c r="T16" i="16"/>
  <c r="AZ16" i="11"/>
  <c r="AZ23" i="11" s="1"/>
  <c r="BW20" i="20"/>
  <c r="BU16" i="17"/>
  <c r="BV19" i="16"/>
  <c r="BW19" i="20"/>
  <c r="BV18" i="16"/>
  <c r="X20" i="16"/>
  <c r="BW18" i="20"/>
  <c r="BW13" i="20"/>
  <c r="BU10" i="17"/>
  <c r="BV17" i="16"/>
  <c r="BV12" i="16"/>
  <c r="BV21" i="16"/>
  <c r="BW25" i="20"/>
  <c r="BW17" i="20"/>
  <c r="BW12" i="20"/>
  <c r="BU29" i="17"/>
  <c r="BU22" i="17"/>
  <c r="BV25" i="16"/>
  <c r="BV16" i="16"/>
  <c r="BV11" i="16"/>
  <c r="X21" i="16"/>
  <c r="BW16" i="20"/>
  <c r="BW11" i="20"/>
  <c r="BU20" i="17"/>
  <c r="BU9" i="17"/>
  <c r="U10" i="17"/>
  <c r="S21" i="17"/>
  <c r="BW29" i="20"/>
  <c r="BU19" i="17"/>
  <c r="BV10" i="16"/>
  <c r="BW28" i="20"/>
  <c r="BW22" i="20"/>
  <c r="BW10" i="20"/>
  <c r="BU18" i="17"/>
  <c r="BU13" i="17"/>
  <c r="BV29" i="16"/>
  <c r="BV22" i="16"/>
  <c r="S11" i="17"/>
  <c r="BW21" i="20"/>
  <c r="BU17" i="17"/>
  <c r="BU12" i="17"/>
  <c r="BV20" i="16"/>
  <c r="BV9" i="16"/>
  <c r="T14" i="16"/>
  <c r="AA29" i="16"/>
  <c r="AZ22" i="11"/>
  <c r="S25" i="17"/>
  <c r="AA20" i="16"/>
  <c r="AA18" i="16"/>
  <c r="R28" i="14"/>
  <c r="AZ20" i="11"/>
  <c r="AZ17" i="11"/>
  <c r="AZ12" i="11"/>
  <c r="X16" i="17"/>
  <c r="S11" i="14"/>
  <c r="V11" i="14" s="1"/>
  <c r="BF20" i="11"/>
  <c r="AZ11" i="11"/>
  <c r="T17"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F25" i="8"/>
  <c r="AY14" i="8"/>
  <c r="BG16" i="8"/>
  <c r="BD9" i="8"/>
  <c r="BF9" i="8"/>
  <c r="L10" i="2"/>
  <c r="L22" i="2"/>
  <c r="L28" i="2"/>
  <c r="X21" i="20"/>
  <c r="C30" i="7"/>
  <c r="S16" i="17"/>
  <c r="L29" i="2"/>
  <c r="S17" i="17"/>
  <c r="L16" i="2"/>
  <c r="L12" i="2"/>
  <c r="L17" i="2"/>
  <c r="L25" i="2"/>
  <c r="X19" i="16"/>
  <c r="L13" i="2"/>
  <c r="L18" i="2"/>
  <c r="X10" i="21"/>
  <c r="AO14" i="21"/>
  <c r="L19" i="2"/>
  <c r="L20" i="2"/>
  <c r="U9" i="17"/>
  <c r="U31" i="17" s="1"/>
  <c r="AA11" i="16"/>
  <c r="L9" i="2"/>
  <c r="L21" i="2"/>
  <c r="AP14" i="16"/>
  <c r="AA9" i="16"/>
  <c r="V25" i="16"/>
  <c r="V9" i="16"/>
  <c r="X13" i="16"/>
  <c r="T23" i="17"/>
  <c r="T26" i="17" s="1"/>
  <c r="T30" i="17" s="1"/>
  <c r="BG16" i="13"/>
  <c r="BE17" i="13"/>
  <c r="BE16" i="13"/>
  <c r="X32" i="20"/>
  <c r="G23" i="14"/>
  <c r="G30" i="14"/>
  <c r="AK31" i="8" l="1"/>
  <c r="H28" i="2"/>
  <c r="BF17" i="8"/>
  <c r="BD12" i="8"/>
  <c r="B16" i="6"/>
  <c r="BU21" i="17"/>
  <c r="BV13" i="16"/>
  <c r="BW9" i="20"/>
  <c r="BV28" i="16"/>
  <c r="BU11" i="17"/>
  <c r="BU25" i="17"/>
  <c r="BU28" i="17"/>
  <c r="BG21" i="11"/>
  <c r="BJ28" i="11"/>
  <c r="AP18" i="20"/>
  <c r="BM20" i="11"/>
  <c r="AP26" i="21"/>
  <c r="AZ9" i="11"/>
  <c r="AZ14" i="11" s="1"/>
  <c r="BG19" i="11"/>
  <c r="BL25" i="11"/>
  <c r="V20" i="11"/>
  <c r="AZ13" i="11"/>
  <c r="AP16" i="20"/>
  <c r="AP22" i="20"/>
  <c r="BJ16" i="11"/>
  <c r="BI19" i="11"/>
  <c r="V9" i="11"/>
  <c r="V13" i="11"/>
  <c r="BM12" i="11"/>
  <c r="BI25" i="11"/>
  <c r="V11" i="11"/>
  <c r="BK21" i="11"/>
  <c r="AZ19" i="11"/>
  <c r="BK29" i="11"/>
  <c r="BG22" i="11"/>
  <c r="BG20" i="11"/>
  <c r="BF28" i="11"/>
  <c r="BH16" i="16"/>
  <c r="BF13" i="11"/>
  <c r="BH9" i="16"/>
  <c r="AZ26"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Q17" i="11" l="1"/>
  <c r="Q12"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<sst xmlns="http://schemas.openxmlformats.org/spreadsheetml/2006/main" count="2682" uniqueCount="1193">
  <si>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</si>
  <si>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</si>
  <si>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</si>
  <si>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</si>
  <si>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</si>
  <si>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</si>
  <si>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</si>
  <si>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</si>
  <si>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</si>
  <si>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</si>
  <si>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</si>
  <si>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</si>
  <si>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</si>
  <si>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</si>
  <si>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</si>
  <si>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</si>
  <si>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</si>
  <si>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</si>
  <si>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</si>
  <si>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</si>
  <si>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</si>
  <si>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</si>
  <si>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</si>
  <si>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</si>
  <si>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</si>
  <si>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</si>
  <si>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</si>
  <si>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</si>
  <si>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</si>
  <si>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</si>
  <si>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</si>
  <si>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</si>
  <si>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</si>
  <si>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</si>
  <si>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</si>
  <si>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</si>
  <si>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</si>
  <si>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</si>
  <si>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</si>
  <si>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</si>
  <si>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</si>
  <si>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</si>
  <si>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</si>
  <si>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</si>
  <si>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</si>
  <si>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</si>
  <si>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</si>
  <si>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</si>
  <si>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</si>
  <si>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</si>
  <si>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</si>
  <si>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</si>
  <si>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</si>
  <si>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</si>
  <si>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</si>
  <si>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</si>
  <si>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</si>
  <si>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</si>
  <si>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</si>
  <si>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</si>
  <si>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</si>
  <si>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</si>
  <si>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</si>
  <si>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</si>
  <si>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</si>
  <si>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</si>
  <si>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</si>
  <si>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</si>
  <si>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</si>
  <si>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</si>
  <si>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</si>
  <si>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</si>
  <si>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</si>
  <si>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</si>
  <si>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</si>
  <si>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</si>
  <si>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</si>
  <si>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</si>
  <si>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</si>
  <si>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</si>
  <si>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</si>
  <si>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</si>
  <si>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</si>
  <si>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</si>
  <si>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</si>
  <si>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</si>
  <si>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</si>
  <si>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</si>
  <si>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</si>
  <si>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</si>
  <si>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</si>
  <si>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</si>
  <si>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</si>
  <si>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</si>
  <si>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</si>
  <si>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</si>
  <si>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</si>
  <si>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</si>
  <si>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</si>
  <si>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</si>
  <si>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</si>
  <si>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</si>
  <si>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</si>
  <si>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</si>
  <si>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</si>
  <si>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</si>
  <si>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</si>
  <si>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</si>
  <si>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</si>
  <si>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</si>
  <si>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</si>
  <si>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</si>
  <si>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</si>
  <si>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</si>
  <si>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</si>
  <si>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</si>
  <si>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</si>
  <si>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</si>
  <si>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</si>
  <si>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</si>
  <si>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</si>
  <si>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</si>
  <si>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</si>
  <si>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</si>
  <si>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</si>
  <si>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</si>
  <si>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</si>
  <si>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</si>
  <si>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</si>
  <si>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</si>
  <si>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</si>
  <si>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</si>
  <si>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</si>
  <si>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</si>
  <si>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</si>
  <si>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</si>
  <si>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</si>
  <si>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</si>
  <si>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</si>
  <si>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</si>
  <si>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</si>
  <si>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</si>
  <si>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</si>
  <si>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</si>
  <si>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</si>
  <si>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</si>
  <si>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</si>
  <si>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</si>
  <si>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</si>
  <si>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</si>
  <si>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</si>
  <si>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</si>
  <si>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</si>
  <si>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</si>
  <si>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</si>
  <si>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</si>
  <si>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</si>
  <si>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</si>
  <si>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</si>
  <si>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</si>
  <si>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</si>
  <si>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</si>
  <si>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</si>
  <si>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</si>
  <si>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</si>
  <si>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</si>
  <si>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</si>
  <si>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</si>
  <si>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</si>
  <si>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</si>
  <si>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</si>
  <si>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</si>
  <si>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</si>
  <si>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</si>
  <si>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</si>
  <si>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</si>
  <si>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</si>
  <si>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</si>
  <si>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</si>
  <si>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</si>
  <si>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</si>
  <si>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</si>
  <si>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</si>
  <si>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</si>
  <si>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</si>
  <si>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</si>
  <si>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</si>
  <si>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</si>
  <si>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</si>
  <si>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</si>
  <si>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</si>
  <si>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</si>
  <si>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</si>
  <si>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</si>
  <si>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</si>
  <si>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</si>
  <si>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</si>
  <si>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</si>
  <si>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</si>
  <si>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</si>
  <si>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</si>
  <si>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</si>
  <si>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</si>
  <si>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</si>
  <si>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</si>
  <si>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</si>
  <si>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</si>
  <si>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</si>
  <si>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</si>
  <si>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</si>
  <si>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</si>
  <si>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</si>
  <si>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</si>
  <si>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</si>
  <si>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</si>
  <si>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</si>
  <si>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</si>
  <si>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</si>
  <si>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</si>
  <si>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</si>
  <si>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</si>
  <si>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</si>
  <si>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</si>
  <si>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</si>
  <si>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</si>
  <si>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</si>
  <si>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</si>
  <si>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</si>
  <si>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</si>
  <si>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</si>
  <si>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</si>
  <si>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</si>
  <si>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</si>
  <si>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</si>
  <si>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</si>
  <si>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</si>
  <si>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</si>
  <si>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</si>
  <si>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</si>
  <si>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</si>
  <si>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</si>
  <si>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</si>
  <si>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</si>
  <si>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</si>
  <si>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</si>
  <si>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</si>
  <si>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</si>
  <si>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</si>
  <si>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</si>
  <si>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</si>
  <si>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</si>
  <si>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</si>
  <si>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</si>
  <si>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</si>
  <si>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</si>
  <si>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</si>
  <si>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</si>
  <si>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</si>
  <si>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</si>
  <si>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</si>
  <si>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</si>
  <si>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</si>
  <si>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</si>
  <si>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</si>
  <si>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</si>
  <si>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</si>
  <si>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</si>
  <si>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</si>
  <si>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</si>
  <si>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</si>
  <si>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</si>
  <si>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</si>
  <si>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</si>
  <si>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</si>
  <si>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</si>
  <si>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</si>
  <si>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</si>
  <si>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</si>
  <si>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</si>
  <si>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</si>
  <si>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</si>
  <si>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</si>
  <si>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</si>
  <si>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</si>
  <si>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</si>
  <si>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</si>
  <si>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</si>
  <si>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</si>
  <si>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</si>
  <si>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</si>
  <si>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</si>
  <si>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</si>
  <si>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</si>
  <si>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</si>
  <si>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</si>
  <si>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</si>
  <si>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</si>
  <si>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</si>
  <si>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</si>
  <si>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</si>
  <si>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</si>
  <si>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</si>
  <si>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</si>
  <si>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</si>
  <si>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</si>
  <si>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</si>
  <si>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</si>
  <si>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</si>
  <si>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</si>
  <si>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</si>
  <si>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</si>
  <si>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</si>
  <si>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</si>
  <si>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</si>
  <si>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</si>
  <si>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</si>
  <si>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</si>
  <si>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</si>
  <si>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</si>
  <si>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</si>
  <si>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</si>
  <si>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</si>
  <si>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</si>
  <si>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</si>
  <si>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</si>
  <si>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</si>
  <si>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</si>
  <si>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</si>
  <si>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</si>
  <si>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</si>
  <si>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</si>
  <si>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</si>
  <si>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</si>
  <si>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</si>
  <si>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</si>
  <si>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</si>
  <si>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</si>
  <si>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</si>
  <si>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</si>
  <si>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</si>
  <si>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</si>
  <si>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</si>
  <si>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</si>
  <si>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</si>
  <si>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</si>
  <si>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</si>
  <si>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</si>
  <si>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</si>
  <si>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</si>
  <si>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</si>
  <si>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</si>
  <si>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</si>
  <si>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</si>
  <si>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</si>
  <si>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</si>
  <si>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</si>
  <si>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</si>
  <si>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</si>
  <si>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</si>
  <si>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</si>
  <si>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</si>
  <si>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</si>
  <si>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</si>
  <si>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</si>
  <si>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</si>
  <si>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</si>
  <si>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</si>
  <si>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</si>
  <si>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</si>
  <si>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</si>
  <si>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</si>
  <si>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</si>
  <si>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</si>
  <si>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</si>
  <si>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</si>
  <si>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</si>
  <si>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</si>
  <si>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</si>
  <si>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</si>
  <si>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</si>
  <si>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</si>
  <si>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</si>
  <si>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</si>
  <si>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</si>
  <si>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</si>
  <si>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</si>
  <si>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</si>
  <si>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</si>
  <si>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</si>
  <si>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</si>
  <si>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</si>
  <si>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</si>
  <si>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</si>
  <si>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</si>
  <si>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</si>
  <si>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</si>
  <si>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</si>
  <si>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</si>
  <si>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</si>
  <si>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</si>
  <si>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</si>
  <si>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</si>
  <si>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</si>
  <si>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</si>
  <si>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</si>
  <si>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</si>
  <si>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</si>
  <si>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</si>
  <si>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</si>
  <si>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</si>
  <si>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</si>
  <si>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</si>
  <si>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</si>
  <si>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</si>
  <si>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</si>
  <si>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</si>
  <si>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</si>
  <si>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</si>
  <si>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</si>
  <si>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</si>
  <si>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</si>
  <si>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</si>
  <si>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</si>
  <si>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</si>
  <si>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</si>
  <si>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</si>
  <si>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</si>
  <si>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</si>
  <si>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</si>
  <si>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</si>
  <si>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</si>
  <si>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</si>
  <si>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</si>
  <si>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</si>
  <si>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</si>
  <si>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</si>
  <si>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</si>
  <si>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</si>
  <si>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</si>
  <si>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</si>
  <si>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</si>
  <si>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</si>
  <si>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</si>
  <si>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</si>
  <si>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</si>
  <si>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</si>
  <si>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</si>
  <si>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</si>
  <si>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</si>
  <si>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</si>
  <si>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</si>
  <si>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</si>
  <si>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</si>
  <si>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</si>
  <si>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</si>
  <si>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</si>
  <si>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</si>
  <si>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</si>
  <si>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</si>
  <si>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</si>
  <si>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</si>
  <si>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</si>
  <si>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</si>
  <si>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</si>
  <si>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</si>
  <si>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</si>
  <si>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</si>
  <si>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</si>
  <si>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</si>
  <si>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</si>
  <si>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</si>
  <si>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</si>
  <si>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</si>
  <si>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</si>
  <si>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</si>
  <si>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</si>
  <si>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</si>
  <si>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</si>
  <si>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</si>
  <si>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</si>
  <si>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</si>
  <si>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</si>
  <si>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</si>
  <si>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</si>
  <si>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</si>
  <si>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</si>
  <si>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</si>
  <si>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</si>
  <si>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</si>
  <si>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</si>
  <si>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</si>
  <si>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</si>
  <si>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</si>
  <si>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</si>
  <si>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</si>
  <si>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</si>
  <si>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</si>
  <si>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</si>
  <si>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</si>
  <si>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</si>
  <si>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</si>
  <si>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</si>
  <si>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</si>
  <si>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</si>
  <si>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</si>
  <si>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</si>
  <si>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</si>
  <si>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</si>
  <si>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</si>
  <si>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</si>
  <si>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</si>
  <si>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</si>
  <si>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</si>
  <si>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</si>
  <si>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</si>
  <si>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</si>
  <si>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</si>
  <si>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</si>
  <si>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</si>
  <si>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</si>
  <si>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</si>
  <si>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</si>
  <si>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</si>
  <si>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</si>
  <si>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</si>
  <si>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</si>
  <si>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</si>
  <si>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</si>
  <si>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</si>
  <si>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</si>
  <si>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</si>
  <si>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</si>
  <si>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</si>
  <si>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</si>
  <si>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</si>
  <si>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</si>
  <si>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</si>
  <si>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</si>
  <si>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</si>
  <si>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</si>
  <si>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</si>
  <si>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</si>
  <si>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</si>
  <si>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</si>
  <si>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</si>
  <si>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</si>
  <si>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</si>
  <si>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</si>
  <si>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</si>
  <si>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</si>
  <si>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</si>
  <si>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</si>
  <si>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</si>
  <si>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</si>
  <si>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</si>
  <si>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</si>
  <si>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</si>
  <si>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</si>
  <si>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</si>
  <si>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</si>
  <si>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</si>
  <si>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</si>
  <si>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</si>
  <si>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</si>
  <si>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</si>
  <si>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</si>
  <si>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</si>
  <si>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</si>
  <si>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</si>
  <si>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</si>
  <si>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</si>
  <si>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</si>
  <si>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</si>
  <si>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</si>
  <si>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</si>
  <si>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</si>
  <si>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</si>
  <si>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</si>
  <si>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</si>
  <si>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</si>
  <si>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</si>
  <si>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</si>
  <si>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</si>
  <si>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</si>
  <si>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</si>
  <si>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</si>
  <si>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</si>
  <si>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</si>
  <si>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</si>
  <si>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</si>
  <si>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</si>
  <si>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</si>
  <si>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</si>
  <si>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</si>
  <si>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</si>
  <si>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</si>
  <si>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</si>
  <si>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</si>
  <si>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</si>
  <si>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</si>
  <si>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</si>
  <si>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</si>
  <si>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</si>
  <si>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</si>
  <si>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</si>
  <si>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</si>
  <si>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</si>
  <si>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</si>
  <si>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</si>
  <si>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</si>
  <si>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</si>
  <si>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</si>
  <si>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</si>
  <si>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</si>
  <si>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</si>
  <si>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</si>
  <si>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</si>
  <si>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</si>
  <si>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</si>
  <si>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</si>
  <si>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</si>
  <si>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</si>
  <si>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</si>
  <si>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</si>
  <si>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</si>
  <si>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</si>
  <si>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</si>
  <si>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</si>
  <si>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</si>
  <si>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</si>
  <si>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</si>
  <si>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</si>
  <si>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</si>
  <si>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</si>
  <si>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</si>
  <si>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</si>
  <si>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</si>
  <si>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</si>
  <si>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</si>
  <si>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</si>
  <si>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</si>
  <si>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</si>
  <si>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</si>
  <si>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</si>
  <si>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</si>
  <si>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</si>
  <si>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</si>
  <si>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</si>
  <si>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</si>
  <si>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</si>
  <si>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</si>
  <si>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</si>
  <si>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</si>
  <si>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</si>
  <si>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</si>
  <si>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</si>
  <si>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</si>
  <si>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</si>
  <si>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</si>
  <si>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</si>
  <si>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</si>
  <si>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</si>
  <si>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</si>
  <si>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</si>
  <si>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</si>
  <si>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</si>
  <si>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</si>
  <si>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</si>
  <si>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</si>
  <si>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</si>
  <si>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</si>
  <si>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</si>
  <si>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</si>
  <si>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</si>
  <si>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</si>
  <si>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</si>
  <si>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</si>
  <si>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</si>
  <si>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</si>
  <si>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</si>
  <si>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</si>
  <si>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</si>
  <si>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</si>
  <si>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</si>
  <si>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</si>
  <si>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</si>
  <si>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</si>
  <si>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</si>
  <si>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</si>
  <si>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</si>
  <si>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</si>
  <si>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</si>
  <si>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</si>
  <si>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</si>
  <si>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</si>
  <si>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</si>
  <si>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</si>
  <si>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</si>
  <si>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</si>
  <si>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</si>
  <si>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</si>
  <si>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</si>
  <si>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</si>
  <si>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</si>
  <si>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</si>
  <si>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</si>
  <si>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</si>
  <si>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</si>
  <si>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</si>
  <si>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</si>
  <si>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</si>
  <si>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</si>
  <si>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</si>
  <si>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</si>
  <si>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</si>
  <si>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</si>
  <si>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</si>
  <si>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</si>
  <si>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</si>
  <si>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</si>
  <si>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</si>
  <si>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</si>
  <si>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</si>
  <si>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</si>
  <si>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</si>
  <si>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</si>
  <si>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</si>
  <si>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</si>
  <si>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</si>
  <si>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</si>
  <si>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</si>
  <si>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</si>
  <si>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</si>
  <si>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</si>
  <si>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</si>
  <si>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</si>
  <si>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</si>
  <si>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</si>
  <si>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</si>
  <si>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</si>
  <si>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</si>
  <si>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</si>
  <si>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</si>
  <si>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</si>
  <si>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</si>
  <si>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</si>
  <si>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</si>
  <si>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</si>
  <si>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</si>
  <si>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</si>
  <si>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</si>
  <si>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</si>
  <si>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</si>
  <si>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</si>
  <si>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</si>
  <si>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</si>
  <si>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</si>
  <si>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</si>
  <si>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</si>
  <si>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</si>
  <si>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</si>
  <si>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</si>
  <si>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</si>
  <si>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</si>
  <si>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</si>
  <si>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</si>
  <si>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</si>
  <si>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</si>
  <si>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</si>
  <si>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</si>
  <si>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</si>
  <si>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</si>
  <si>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</si>
  <si>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</si>
  <si>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</si>
  <si>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</si>
  <si>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</si>
  <si>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</si>
  <si>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</si>
  <si>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</si>
  <si>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</si>
  <si>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</si>
  <si>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</si>
  <si>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</si>
  <si>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</si>
  <si>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</si>
  <si>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</si>
  <si>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</si>
  <si>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</si>
  <si>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</si>
  <si>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</si>
  <si>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</si>
  <si>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</si>
  <si>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</si>
  <si>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</si>
  <si>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</si>
  <si>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</si>
  <si>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</si>
  <si>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</si>
  <si>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</si>
  <si>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</si>
  <si>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</si>
  <si>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</si>
  <si>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</si>
  <si>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</si>
  <si>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</si>
  <si>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</si>
  <si>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</si>
  <si>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</si>
  <si>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</si>
  <si>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</si>
  <si>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</si>
  <si>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</si>
  <si>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</si>
  <si>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</si>
  <si>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</si>
  <si>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</si>
  <si>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</si>
  <si>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</si>
  <si>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</si>
  <si>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</si>
  <si>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</si>
  <si>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</si>
  <si>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</si>
  <si>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</si>
  <si>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</si>
  <si>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</si>
  <si>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</si>
  <si>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</si>
  <si>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</si>
  <si>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</si>
  <si>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</si>
  <si>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</si>
  <si>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</si>
  <si>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</si>
  <si>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</si>
  <si>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</si>
  <si>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</si>
  <si>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</si>
  <si>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</si>
  <si>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</si>
  <si>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</si>
  <si>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</si>
  <si>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</si>
  <si>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</si>
  <si>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</si>
  <si>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</si>
  <si>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</si>
  <si>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</si>
  <si>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</si>
  <si>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</si>
  <si>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</si>
  <si>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</si>
  <si>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</si>
  <si>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</si>
  <si>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</si>
  <si>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</si>
  <si>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</si>
  <si>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</si>
  <si>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</si>
  <si>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</si>
  <si>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</si>
  <si>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</si>
  <si>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</si>
  <si>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</si>
  <si>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</si>
  <si>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</si>
  <si>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</si>
  <si>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</si>
  <si>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</si>
  <si>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</si>
  <si>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</si>
  <si>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</si>
  <si>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</si>
  <si>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</si>
  <si>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</si>
  <si>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</si>
  <si>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</si>
  <si>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</si>
  <si>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</si>
  <si>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</si>
  <si>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</si>
  <si>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</si>
  <si>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</si>
  <si>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</si>
  <si>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</si>
  <si>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</si>
  <si>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</si>
  <si>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</si>
  <si>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</si>
  <si>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</si>
  <si>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</si>
  <si>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</si>
  <si>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</si>
  <si>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</si>
  <si>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</si>
  <si>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</si>
  <si>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</si>
  <si>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</si>
  <si>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</si>
  <si>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</si>
  <si>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</si>
  <si>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</si>
  <si>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</si>
  <si>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</si>
  <si>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</si>
  <si>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</si>
  <si>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</si>
  <si>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</si>
  <si>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</si>
  <si>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</si>
  <si>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</si>
  <si>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</si>
  <si>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</si>
  <si>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</si>
  <si>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</si>
  <si>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</si>
  <si>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</si>
  <si>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</si>
  <si>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</si>
  <si>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</si>
  <si>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</si>
  <si>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</si>
  <si>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</si>
  <si>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</si>
  <si>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</si>
  <si>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</si>
  <si>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</si>
  <si>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</si>
  <si>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</si>
  <si>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</si>
  <si>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</si>
  <si>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</si>
  <si>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</si>
  <si>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</si>
  <si>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</si>
  <si>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</si>
  <si>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</si>
  <si>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</si>
  <si>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</si>
  <si>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</si>
  <si>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</si>
  <si>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</si>
  <si>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</si>
  <si>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</si>
  <si>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</si>
  <si>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</si>
  <si>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</si>
  <si>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</si>
  <si>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</si>
  <si>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</si>
  <si>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</si>
  <si>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</si>
  <si>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</si>
  <si>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</si>
  <si>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</si>
  <si>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</si>
  <si>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</si>
  <si>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</si>
  <si>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</si>
  <si>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</si>
  <si>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</si>
  <si>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</si>
  <si>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</si>
  <si>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</si>
  <si>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</si>
  <si>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</si>
  <si>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</si>
  <si>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</si>
  <si>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</si>
  <si>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</si>
  <si>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</si>
  <si>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</si>
  <si>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</si>
  <si>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</si>
  <si>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</si>
  <si>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</si>
  <si>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</si>
  <si>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</si>
  <si>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</si>
  <si>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</si>
  <si>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</si>
  <si>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</si>
  <si>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</si>
  <si>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</si>
  <si>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</si>
  <si>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</si>
  <si>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</si>
  <si>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</si>
  <si>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</si>
  <si>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</si>
  <si>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</si>
  <si>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</si>
  <si>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</si>
  <si>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</si>
  <si>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</si>
  <si>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</si>
  <si>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</si>
  <si>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</si>
  <si>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</si>
  <si>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</si>
  <si>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</si>
  <si>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</si>
  <si>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</si>
  <si>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</si>
  <si>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</si>
  <si>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</si>
  <si>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</si>
  <si>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</si>
  <si>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</si>
  <si>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</si>
  <si>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</si>
  <si>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</si>
  <si>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</si>
  <si>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</si>
  <si>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</si>
  <si>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</si>
  <si>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</si>
  <si>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</si>
  <si>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</si>
  <si>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</si>
  <si>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</si>
  <si>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</si>
  <si>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</si>
  <si>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</si>
  <si>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</si>
  <si>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</si>
  <si>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</si>
  <si>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</si>
  <si>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</si>
  <si>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</si>
  <si>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</si>
  <si>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</si>
  <si>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</si>
  <si>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</si>
  <si>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</si>
  <si>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</si>
  <si>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</si>
  <si>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</si>
  <si>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</si>
  <si>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</si>
  <si>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</si>
  <si>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</si>
  <si>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</si>
  <si>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</si>
  <si>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</si>
  <si>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</si>
  <si>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</si>
  <si>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</si>
  <si>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</si>
  <si>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</si>
  <si>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</si>
  <si>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</si>
  <si>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</si>
  <si>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</si>
  <si>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</si>
  <si>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</si>
  <si>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</si>
  <si>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</si>
  <si>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</si>
  <si>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</si>
  <si>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</si>
  <si>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</si>
  <si>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</si>
  <si>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</si>
  <si>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</si>
  <si>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</si>
  <si>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</si>
  <si>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</si>
  <si>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</si>
  <si>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</si>
  <si>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</si>
  <si>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</si>
  <si>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</si>
  <si>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</si>
  <si>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</si>
  <si>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</si>
  <si>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</si>
  <si>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</si>
  <si>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</si>
  <si>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</si>
  <si>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</si>
  <si>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</si>
  <si>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</si>
  <si>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</si>
  <si>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</si>
  <si>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</si>
  <si>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</si>
  <si>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</si>
  <si>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</si>
  <si>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</si>
  <si>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</si>
  <si>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</si>
  <si>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</si>
  <si>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</si>
  <si>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</si>
  <si>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</si>
  <si>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</si>
  <si>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</si>
  <si>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</si>
  <si>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</si>
  <si>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</si>
  <si>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</si>
  <si>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</si>
  <si>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</si>
  <si>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</si>
  <si>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</si>
  <si>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</si>
  <si>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</si>
  <si>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</si>
  <si>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</si>
  <si>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</si>
  <si>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</si>
  <si>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</si>
  <si>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</si>
  <si>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</si>
  <si>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</si>
  <si>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</si>
  <si>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</si>
  <si>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</si>
  <si>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</si>
  <si>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</si>
  <si>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</si>
  <si>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</si>
  <si>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</si>
  <si>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</si>
  <si>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</si>
  <si>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</si>
  <si>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</si>
  <si>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</si>
  <si>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</si>
  <si>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</si>
  <si>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</si>
  <si>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</si>
  <si>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</si>
  <si>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</si>
  <si>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</si>
  <si>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</si>
  <si>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</si>
  <si>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</si>
  <si>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</si>
  <si>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</si>
  <si>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</si>
  <si>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</si>
  <si>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</si>
  <si>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</si>
  <si>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</si>
  <si>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</si>
  <si>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</si>
  <si>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</si>
  <si>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</si>
  <si>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</si>
  <si>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</si>
  <si>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</si>
  <si>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</si>
  <si>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</si>
  <si>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</si>
  <si>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</si>
  <si>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</si>
  <si>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</si>
  <si>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</si>
  <si>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</si>
  <si>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</si>
  <si>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</si>
  <si>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</si>
  <si>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</si>
  <si>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</si>
  <si>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</si>
  <si>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</si>
  <si>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</si>
  <si>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</si>
  <si>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</si>
  <si>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</si>
  <si>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</si>
  <si>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</si>
  <si>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</si>
  <si>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</si>
  <si>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</si>
  <si>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</si>
  <si>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</si>
  <si>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</si>
  <si>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</si>
  <si>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</si>
  <si>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</si>
  <si>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</si>
  <si>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</si>
  <si>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</si>
  <si>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</si>
  <si>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</si>
  <si>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</si>
  <si>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GIRONA</t>
  </si>
  <si>
    <t>Resumenes por Partidos Judiciales</t>
  </si>
  <si>
    <t>SANT FELIU DE GUIXOLS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</si>
</sst>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e8G1Z9U8s5ChMPG2b4orMWJj5r7AuhsKb6nkybr9fN0aUn/FLdyghS6IV/hzXpHEAJtMKIHk/dJ6Qytj0HWcg==" saltValue="HThlR2hWU9OWq5/RhbYq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32</v>
      </c>
      <c r="D10" s="239">
        <f>IF(ISNUMBER(Datos!I10),Datos!I10," - ")</f>
        <v>32</v>
      </c>
      <c r="E10" s="240">
        <f>IF(ISNUMBER(Datos!J10),Datos!J10," - ")</f>
        <v>22</v>
      </c>
      <c r="F10" s="240">
        <f>IF(ISNUMBER(Datos!K10),Datos!K10," - ")</f>
        <v>24</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-6.25E-2</v>
      </c>
      <c r="L10" s="1402">
        <f>IF(ISNUMBER(NºAsuntos!I10/NºAsuntos!G10),(NºAsuntos!I10/NºAsuntos!G10)*11," - ")</f>
        <v>13.75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8.5781803859787313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32</v>
      </c>
      <c r="D14" s="1407">
        <f>SUBTOTAL(9,D9:D13)</f>
        <v>32</v>
      </c>
      <c r="E14" s="1408">
        <f>SUBTOTAL(9,E9:E13)</f>
        <v>22</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865</v>
      </c>
      <c r="D17" s="239">
        <f>IF(ISNUMBER(IF(D_I="SI",Datos!I17,Datos!I17+Datos!AC17)),IF(D_I="SI",Datos!I17,Datos!I17+Datos!AC17)," - ")</f>
        <v>764</v>
      </c>
      <c r="E17" s="240">
        <f>IF(ISNUMBER(IF(D_I="SI",Datos!J17,Datos!J17+Datos!AD17)),IF(D_I="SI",Datos!J17,Datos!J17+Datos!AD17)," - ")</f>
        <v>2822</v>
      </c>
      <c r="F17" s="240">
        <f>IF(ISNUMBER(IF(D_I="SI",Datos!K17,Datos!K17+Datos!AE17)),IF(D_I="SI",Datos!K17,Datos!K17+Datos!AE17)," - ")</f>
        <v>2586</v>
      </c>
      <c r="G17" s="1390" t="str">
        <f>IF(Datos!E17&lt;&gt;"",Datos!E17,Datos!D17)</f>
        <v>04</v>
      </c>
      <c r="H17" s="241">
        <f>IF(ISNUMBER(IF(D_I="SI",Datos!L17,Datos!L17+Datos!AF17)),IF(D_I="SI",Datos!L17,Datos!L17+Datos!AF17)," - ")</f>
        <v>1101</v>
      </c>
      <c r="I17" s="1400" t="str">
        <f>IF(ISNUMBER(Datos!AS17/Datos!BM17),Datos!AS17/Datos!BM17," - ")</f>
        <v xml:space="preserve"> - </v>
      </c>
      <c r="J17" s="1401">
        <f>IF(ISNUMBER(Datos!BY17/Datos!CN17),Datos!BY17/Datos!CN17," - ")</f>
        <v>0</v>
      </c>
      <c r="K17" s="244">
        <f t="shared" si="3"/>
        <v>0.27283236994219651</v>
      </c>
      <c r="L17" s="1402">
        <f>IF(ISNUMBER(NºAsuntos!I17/NºAsuntos!G17),(NºAsuntos!I17/NºAsuntos!G17)*11," - ")</f>
        <v>4.6832946635730863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v>
      </c>
      <c r="D18" s="239">
        <f>IF(ISNUMBER(IF(D_I="SI",Datos!I18,Datos!I18+Datos!AC18)),IF(D_I="SI",Datos!I18,Datos!I18+Datos!AC18)," - ")</f>
        <v>37</v>
      </c>
      <c r="E18" s="240">
        <f>IF(ISNUMBER(IF(D_I="SI",Datos!J18,Datos!J18+Datos!AD18)),IF(D_I="SI",Datos!J18,Datos!J18+Datos!AD18)," - ")</f>
        <v>292</v>
      </c>
      <c r="F18" s="240">
        <f>IF(ISNUMBER(IF(D_I="SI",Datos!K18,Datos!K18+Datos!AE18)),IF(D_I="SI",Datos!K18,Datos!K18+Datos!AE18)," - ")</f>
        <v>278</v>
      </c>
      <c r="G18" s="1390" t="str">
        <f>IF(Datos!E18&lt;&gt;"",Datos!E18,Datos!D18)</f>
        <v>37</v>
      </c>
      <c r="H18" s="241">
        <f>IF(ISNUMBER(IF(D_I="SI",Datos!L18,Datos!L18+Datos!AF18)),IF(D_I="SI",Datos!L18,Datos!L18+Datos!AF18)," - ")</f>
        <v>51</v>
      </c>
      <c r="I18" s="1400" t="str">
        <f>IF(ISNUMBER(Datos!AS18/Datos!BM18),Datos!AS18/Datos!BM18," - ")</f>
        <v xml:space="preserve"> - </v>
      </c>
      <c r="J18" s="1401" t="str">
        <f>IF(ISNUMBER((Datos!BY18+Datos!BZ18)/Datos!CN18),(Datos!BY18+Datos!BZ18)/Datos!CN18," - ")</f>
        <v xml:space="preserve"> - </v>
      </c>
      <c r="K18" s="244">
        <f t="shared" si="3"/>
        <v>0.3783783783783784</v>
      </c>
      <c r="L18" s="1402">
        <f>IF(ISNUMBER(NºAsuntos!I18/NºAsuntos!G18),(NºAsuntos!I18/NºAsuntos!G18)*11," - ")</f>
        <v>2.0179856115107913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902</v>
      </c>
      <c r="D23" s="1407">
        <f>SUBTOTAL(9,D16:D22)</f>
        <v>801</v>
      </c>
      <c r="E23" s="1408">
        <f>SUBTOTAL(9,E16:E22)</f>
        <v>3114</v>
      </c>
      <c r="F23" s="1408">
        <f>SUBTOTAL(9,F16:F22)</f>
        <v>2864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934</v>
      </c>
      <c r="D31" s="1435">
        <f>SUBTOTAL(9,D9:D30)</f>
        <v>833</v>
      </c>
      <c r="E31" s="1436">
        <f>SUBTOTAL(9,E9:E30)</f>
        <v>3136</v>
      </c>
      <c r="F31" s="1436">
        <f>SUBTOTAL(9,F9:F30)</f>
        <v>2888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7Ul5zDvkXOZIRh4D12+uBW42+dy3ykxLVMPB3VahzrEmg8bsuYCC5+toQzCCvOh9P5dtuUPadfbeSI80+CZ9Gw==" saltValue="SggrcLGzHqwkq/xkTl+YK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XG9bB6ebzjBx0R0M6MJ84Rzwm5KHkCQDSXtZrVF6Kabve3octe+4z6PPSYMOOO6pzN81tLJwYN/pucLo1ZRow==" saltValue="sG43bQqGvVlpvlCsbe2m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v>
      </c>
      <c r="J10" s="194">
        <v>22</v>
      </c>
      <c r="K10" s="194">
        <v>24</v>
      </c>
      <c r="L10" s="194">
        <v>30</v>
      </c>
      <c r="M10" s="194">
        <v>5</v>
      </c>
      <c r="N10" s="194">
        <v>4</v>
      </c>
      <c r="O10" s="194">
        <v>14</v>
      </c>
      <c r="P10" s="194">
        <v>9</v>
      </c>
      <c r="Q10" s="194">
        <v>3</v>
      </c>
      <c r="R10" s="194">
        <v>21</v>
      </c>
      <c r="S10" s="194">
        <v>30</v>
      </c>
      <c r="T10" s="194">
        <v>31</v>
      </c>
      <c r="U10" s="194">
        <v>29</v>
      </c>
      <c r="V10" s="194">
        <v>32</v>
      </c>
      <c r="W10" s="194">
        <v>8</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30</v>
      </c>
      <c r="AZ10" s="139">
        <f t="shared" si="0"/>
        <v>31</v>
      </c>
      <c r="BA10" s="139">
        <f t="shared" si="0"/>
        <v>29</v>
      </c>
      <c r="BB10" s="139">
        <f t="shared" si="0"/>
        <v>32</v>
      </c>
      <c r="BC10" s="135">
        <f t="shared" si="0"/>
        <v>8</v>
      </c>
      <c r="BD10" s="136">
        <f>IF(ISNUMBER(BA10/AZ10),BA10/AZ10," - ")</f>
        <v>0.93548387096774188</v>
      </c>
      <c r="BE10" s="137">
        <f>IF(ISNUMBER(BB10/BA10),BB10/BA10, " - ")</f>
        <v>1.103448275862069</v>
      </c>
      <c r="BF10" s="137">
        <f>IF(ISNUMBER(BC10/BA10),BC10/BA10, " - ")</f>
        <v>0.27586206896551724</v>
      </c>
      <c r="BG10" s="209">
        <f>IF(ISNUMBER((AY10+AZ10)/BA10),(AY10+AZ10)/BA10," - ")</f>
        <v>2.103448275862069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1798</v>
      </c>
      <c r="J12" s="196">
        <v>2594</v>
      </c>
      <c r="K12" s="196">
        <v>2423</v>
      </c>
      <c r="L12" s="196">
        <v>1946</v>
      </c>
      <c r="M12" s="196">
        <v>586</v>
      </c>
      <c r="N12" s="196">
        <v>1050</v>
      </c>
      <c r="O12" s="194">
        <v>1235</v>
      </c>
      <c r="P12" s="196">
        <v>590</v>
      </c>
      <c r="Q12" s="196">
        <v>727</v>
      </c>
      <c r="R12" s="196">
        <v>2859</v>
      </c>
      <c r="S12" s="196">
        <v>1499</v>
      </c>
      <c r="T12" s="196">
        <v>2362</v>
      </c>
      <c r="U12" s="196">
        <v>2063</v>
      </c>
      <c r="V12" s="196">
        <v>1798</v>
      </c>
      <c r="W12" s="196">
        <v>514</v>
      </c>
      <c r="X12" s="202">
        <v>762</v>
      </c>
      <c r="Y12" s="204">
        <v>26</v>
      </c>
      <c r="Z12" s="194">
        <v>124</v>
      </c>
      <c r="AA12" s="194">
        <v>116</v>
      </c>
      <c r="AB12" s="194">
        <v>34</v>
      </c>
      <c r="AC12" s="196">
        <v>0</v>
      </c>
      <c r="AD12" s="196">
        <v>0</v>
      </c>
      <c r="AE12" s="196">
        <v>0</v>
      </c>
      <c r="AF12" s="202">
        <v>0</v>
      </c>
      <c r="AG12" s="215">
        <v>28</v>
      </c>
      <c r="AH12" s="196">
        <v>109</v>
      </c>
      <c r="AI12" s="196">
        <v>111</v>
      </c>
      <c r="AJ12" s="216">
        <v>26</v>
      </c>
      <c r="AK12" s="195">
        <v>0</v>
      </c>
      <c r="AL12" s="196">
        <v>0</v>
      </c>
      <c r="AM12" s="196">
        <v>0</v>
      </c>
      <c r="AN12" s="202">
        <v>0</v>
      </c>
      <c r="AO12" s="283">
        <v>3</v>
      </c>
      <c r="AP12" s="168">
        <v>3</v>
      </c>
      <c r="AQ12" s="168">
        <v>3</v>
      </c>
      <c r="AR12" s="167">
        <v>3</v>
      </c>
      <c r="AS12" s="381" t="s">
        <v>1075</v>
      </c>
      <c r="AT12" s="216"/>
      <c r="AU12" s="215"/>
      <c r="AV12" s="216"/>
      <c r="AW12" s="215"/>
      <c r="AX12" s="216"/>
      <c r="AY12" s="136">
        <f t="shared" si="1"/>
        <v>1527</v>
      </c>
      <c r="AZ12" s="137">
        <f t="shared" si="1"/>
        <v>2471</v>
      </c>
      <c r="BA12" s="137">
        <f t="shared" si="1"/>
        <v>2174</v>
      </c>
      <c r="BB12" s="137">
        <f t="shared" si="1"/>
        <v>1824</v>
      </c>
      <c r="BC12" s="135">
        <f>IF(ISNUMBER(X12),X12," - ")</f>
        <v>762</v>
      </c>
      <c r="BD12" s="136">
        <f t="shared" si="2"/>
        <v>0.87980574666127076</v>
      </c>
      <c r="BE12" s="137">
        <f t="shared" si="3"/>
        <v>0.83900643974241029</v>
      </c>
      <c r="BF12" s="137">
        <f t="shared" si="4"/>
        <v>0.35050597976080955</v>
      </c>
      <c r="BG12" s="209">
        <f t="shared" si="5"/>
        <v>1.8390064397424104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1830</v>
      </c>
      <c r="J14" s="197">
        <f t="shared" si="7"/>
        <v>2616</v>
      </c>
      <c r="K14" s="197">
        <f t="shared" si="7"/>
        <v>2447</v>
      </c>
      <c r="L14" s="197">
        <f t="shared" si="7"/>
        <v>1976</v>
      </c>
      <c r="M14" s="197">
        <f t="shared" si="7"/>
        <v>591</v>
      </c>
      <c r="N14" s="197">
        <f t="shared" si="7"/>
        <v>1054</v>
      </c>
      <c r="O14" s="197">
        <f t="shared" si="7"/>
        <v>1249</v>
      </c>
      <c r="P14" s="197">
        <f t="shared" si="7"/>
        <v>599</v>
      </c>
      <c r="Q14" s="197">
        <f t="shared" si="7"/>
        <v>730</v>
      </c>
      <c r="R14" s="197">
        <f t="shared" si="7"/>
        <v>2880</v>
      </c>
      <c r="S14" s="197">
        <f t="shared" si="7"/>
        <v>1529</v>
      </c>
      <c r="T14" s="197">
        <f t="shared" si="7"/>
        <v>2393</v>
      </c>
      <c r="U14" s="197">
        <f t="shared" si="7"/>
        <v>2092</v>
      </c>
      <c r="V14" s="197">
        <f t="shared" si="7"/>
        <v>1830</v>
      </c>
      <c r="W14" s="197">
        <f t="shared" si="7"/>
        <v>522</v>
      </c>
      <c r="X14" s="197">
        <f t="shared" si="7"/>
        <v>766</v>
      </c>
      <c r="Y14" s="197">
        <f t="shared" si="7"/>
        <v>26</v>
      </c>
      <c r="Z14" s="197">
        <f t="shared" si="7"/>
        <v>124</v>
      </c>
      <c r="AA14" s="197">
        <f t="shared" si="7"/>
        <v>116</v>
      </c>
      <c r="AB14" s="197">
        <f t="shared" si="7"/>
        <v>34</v>
      </c>
      <c r="AC14" s="197">
        <f t="shared" si="7"/>
        <v>0</v>
      </c>
      <c r="AD14" s="197">
        <f t="shared" si="7"/>
        <v>0</v>
      </c>
      <c r="AE14" s="197">
        <f t="shared" si="7"/>
        <v>0</v>
      </c>
      <c r="AF14" s="197">
        <f>SUBTOTAL(9,AF9:AF13)</f>
        <v>0</v>
      </c>
      <c r="AG14" s="197">
        <f t="shared" ref="AG14:AT14" si="8">SUBTOTAL(9,AG8:AG13)</f>
        <v>28</v>
      </c>
      <c r="AH14" s="197">
        <f t="shared" si="8"/>
        <v>109</v>
      </c>
      <c r="AI14" s="197">
        <f t="shared" si="8"/>
        <v>111</v>
      </c>
      <c r="AJ14" s="197">
        <f t="shared" si="8"/>
        <v>26</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1557</v>
      </c>
      <c r="AZ14" s="197">
        <f>SUBTOTAL(9,AZ8:AZ13)</f>
        <v>2502</v>
      </c>
      <c r="BA14" s="197">
        <f>SUBTOTAL(9,BA8:BA13)</f>
        <v>2203</v>
      </c>
      <c r="BB14" s="197">
        <f>SUBTOTAL(9,BB8:BB13)</f>
        <v>1856</v>
      </c>
      <c r="BC14" s="197">
        <f>SUBTOTAL(9,BC8:BC13)</f>
        <v>770</v>
      </c>
      <c r="BD14" s="219">
        <f>IF(ISNUMBER(BA14/AZ14),BA14/AZ14," - ")</f>
        <v>0.88049560351718625</v>
      </c>
      <c r="BE14" s="220">
        <f>IF(ISNUMBER(BB14/BA14),BB14/BA14, " - ")</f>
        <v>0.84248751702224245</v>
      </c>
      <c r="BF14" s="220">
        <f>IF(ISNUMBER(BC14/BA14),BC14/BA14, " - ")</f>
        <v>0.34952337721289151</v>
      </c>
      <c r="BG14" s="221">
        <f>IF(ISNUMBER((AY14+AZ14)/BA14),(AY14+AZ14)/BA14," - ")</f>
        <v>1.8424875170222423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764</v>
      </c>
      <c r="J17" s="196">
        <v>2822</v>
      </c>
      <c r="K17" s="196">
        <v>2586</v>
      </c>
      <c r="L17" s="196">
        <v>1101</v>
      </c>
      <c r="M17" s="196">
        <v>570</v>
      </c>
      <c r="N17" s="196">
        <v>1514</v>
      </c>
      <c r="O17" s="194">
        <v>65</v>
      </c>
      <c r="P17" s="196">
        <v>84</v>
      </c>
      <c r="Q17" s="196">
        <v>86</v>
      </c>
      <c r="R17" s="196">
        <v>94</v>
      </c>
      <c r="S17" s="196">
        <v>758</v>
      </c>
      <c r="T17" s="196">
        <v>2582</v>
      </c>
      <c r="U17" s="196">
        <v>2606</v>
      </c>
      <c r="V17" s="196">
        <v>764</v>
      </c>
      <c r="W17" s="196">
        <v>497</v>
      </c>
      <c r="X17" s="202">
        <v>1345</v>
      </c>
      <c r="Y17" s="215">
        <v>0</v>
      </c>
      <c r="Z17" s="196">
        <v>0</v>
      </c>
      <c r="AA17" s="196">
        <v>0</v>
      </c>
      <c r="AB17" s="196">
        <v>0</v>
      </c>
      <c r="AC17" s="196">
        <v>11</v>
      </c>
      <c r="AD17" s="196">
        <v>47</v>
      </c>
      <c r="AE17" s="196">
        <v>45</v>
      </c>
      <c r="AF17" s="202">
        <v>13</v>
      </c>
      <c r="AG17" s="215">
        <v>0</v>
      </c>
      <c r="AH17" s="196">
        <v>0</v>
      </c>
      <c r="AI17" s="196">
        <v>0</v>
      </c>
      <c r="AJ17" s="216">
        <v>0</v>
      </c>
      <c r="AK17" s="195">
        <v>11</v>
      </c>
      <c r="AL17" s="196">
        <v>61</v>
      </c>
      <c r="AM17" s="196">
        <v>61</v>
      </c>
      <c r="AN17" s="202">
        <v>11</v>
      </c>
      <c r="AO17" s="283">
        <v>3</v>
      </c>
      <c r="AP17" s="168">
        <v>3</v>
      </c>
      <c r="AQ17" s="168">
        <v>3</v>
      </c>
      <c r="AR17" s="168">
        <v>3</v>
      </c>
      <c r="AS17" s="381" t="s">
        <v>650</v>
      </c>
      <c r="AT17" s="216"/>
      <c r="AU17" s="215"/>
      <c r="AV17" s="216"/>
      <c r="AW17" s="215"/>
      <c r="AX17" s="216"/>
      <c r="AY17" s="136">
        <f t="shared" si="10"/>
        <v>758</v>
      </c>
      <c r="AZ17" s="137">
        <f t="shared" si="10"/>
        <v>2582</v>
      </c>
      <c r="BA17" s="137">
        <f t="shared" si="10"/>
        <v>2606</v>
      </c>
      <c r="BB17" s="137">
        <f t="shared" si="10"/>
        <v>764</v>
      </c>
      <c r="BC17" s="135">
        <f>IF(ISNUMBER(W17),W17," - ")</f>
        <v>497</v>
      </c>
      <c r="BD17" s="136">
        <f t="shared" ref="BD17:BD22" si="12">IF(ISNUMBER(BA17/AZ17),BA17/AZ17," - ")</f>
        <v>1.0092951200619675</v>
      </c>
      <c r="BE17" s="137">
        <f t="shared" ref="BE17:BE22" si="13">IF(ISNUMBER(BB17/BA17),BB17/BA17, " - ")</f>
        <v>0.29316960859554875</v>
      </c>
      <c r="BF17" s="137">
        <f t="shared" ref="BF17:BF22" si="14">IF(ISNUMBER(BC17/BA17),BC17/BA17, " - ")</f>
        <v>0.19071373752877974</v>
      </c>
      <c r="BG17" s="209">
        <f t="shared" si="11"/>
        <v>1.281657712970069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37</v>
      </c>
      <c r="J18" s="196">
        <v>292</v>
      </c>
      <c r="K18" s="196">
        <v>278</v>
      </c>
      <c r="L18" s="196">
        <v>51</v>
      </c>
      <c r="M18" s="196">
        <v>8</v>
      </c>
      <c r="N18" s="196">
        <v>168</v>
      </c>
      <c r="O18" s="196">
        <v>2</v>
      </c>
      <c r="P18" s="196">
        <v>0</v>
      </c>
      <c r="Q18" s="196">
        <v>2</v>
      </c>
      <c r="R18" s="196">
        <v>0</v>
      </c>
      <c r="S18" s="196">
        <v>47</v>
      </c>
      <c r="T18" s="196">
        <v>253</v>
      </c>
      <c r="U18" s="196">
        <v>266</v>
      </c>
      <c r="V18" s="196">
        <v>37</v>
      </c>
      <c r="W18" s="196">
        <v>11</v>
      </c>
      <c r="X18" s="202">
        <v>134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47</v>
      </c>
      <c r="AZ18" s="139">
        <f t="shared" si="15"/>
        <v>253</v>
      </c>
      <c r="BA18" s="139">
        <f t="shared" si="15"/>
        <v>266</v>
      </c>
      <c r="BB18" s="139">
        <f t="shared" si="15"/>
        <v>37</v>
      </c>
      <c r="BC18" s="135">
        <f>IF(ISNUMBER(W18),W18," - ")</f>
        <v>11</v>
      </c>
      <c r="BD18" s="136">
        <f>IF(ISNUMBER(BA18/AZ18),BA18/AZ18," - ")</f>
        <v>1.0513833992094861</v>
      </c>
      <c r="BE18" s="137">
        <f>IF(ISNUMBER(BB18/BA18),BB18/BA18, " - ")</f>
        <v>0.13909774436090225</v>
      </c>
      <c r="BF18" s="137">
        <f>IF(ISNUMBER(BC18/BA18),BC18/BA18, " - ")</f>
        <v>4.1353383458646614E-2</v>
      </c>
      <c r="BG18" s="209">
        <f>IF(ISNUMBER((AY18+AZ18)/BA18),(AY18+AZ18)/BA18," - ")</f>
        <v>1.1278195488721805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801</v>
      </c>
      <c r="J23" s="197">
        <f t="shared" si="21"/>
        <v>3114</v>
      </c>
      <c r="K23" s="197">
        <f t="shared" si="21"/>
        <v>2864</v>
      </c>
      <c r="L23" s="197">
        <f t="shared" si="21"/>
        <v>1152</v>
      </c>
      <c r="M23" s="197">
        <f t="shared" si="21"/>
        <v>578</v>
      </c>
      <c r="N23" s="197">
        <f t="shared" si="21"/>
        <v>1682</v>
      </c>
      <c r="O23" s="197">
        <f t="shared" si="21"/>
        <v>67</v>
      </c>
      <c r="P23" s="197">
        <f t="shared" si="21"/>
        <v>84</v>
      </c>
      <c r="Q23" s="197">
        <f t="shared" si="21"/>
        <v>88</v>
      </c>
      <c r="R23" s="197">
        <f t="shared" si="21"/>
        <v>94</v>
      </c>
      <c r="S23" s="197">
        <f t="shared" si="21"/>
        <v>805</v>
      </c>
      <c r="T23" s="197">
        <f t="shared" si="21"/>
        <v>2835</v>
      </c>
      <c r="U23" s="197">
        <f t="shared" si="21"/>
        <v>2872</v>
      </c>
      <c r="V23" s="197">
        <f t="shared" si="21"/>
        <v>801</v>
      </c>
      <c r="W23" s="197">
        <f t="shared" si="21"/>
        <v>508</v>
      </c>
      <c r="X23" s="197">
        <f t="shared" si="21"/>
        <v>1479</v>
      </c>
      <c r="Y23" s="197">
        <f t="shared" si="21"/>
        <v>0</v>
      </c>
      <c r="Z23" s="197">
        <f t="shared" si="21"/>
        <v>0</v>
      </c>
      <c r="AA23" s="197">
        <f t="shared" si="21"/>
        <v>0</v>
      </c>
      <c r="AB23" s="197">
        <f t="shared" si="21"/>
        <v>0</v>
      </c>
      <c r="AC23" s="197">
        <f t="shared" si="21"/>
        <v>11</v>
      </c>
      <c r="AD23" s="197">
        <f t="shared" si="21"/>
        <v>47</v>
      </c>
      <c r="AE23" s="197">
        <f t="shared" si="21"/>
        <v>45</v>
      </c>
      <c r="AF23" s="197">
        <f t="shared" si="21"/>
        <v>13</v>
      </c>
      <c r="AG23" s="197">
        <f t="shared" si="21"/>
        <v>0</v>
      </c>
      <c r="AH23" s="197">
        <f t="shared" si="21"/>
        <v>0</v>
      </c>
      <c r="AI23" s="197">
        <f t="shared" si="21"/>
        <v>0</v>
      </c>
      <c r="AJ23" s="197">
        <f t="shared" si="21"/>
        <v>0</v>
      </c>
      <c r="AK23" s="197">
        <f t="shared" si="21"/>
        <v>11</v>
      </c>
      <c r="AL23" s="197">
        <f t="shared" si="21"/>
        <v>61</v>
      </c>
      <c r="AM23" s="197">
        <f t="shared" si="21"/>
        <v>61</v>
      </c>
      <c r="AN23" s="197">
        <f t="shared" si="21"/>
        <v>11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805</v>
      </c>
      <c r="AZ23" s="197">
        <f>SUBTOTAL(9,AZ15:AZ22)</f>
        <v>2835</v>
      </c>
      <c r="BA23" s="197">
        <f>SUBTOTAL(9,BA15:BA22)</f>
        <v>2872</v>
      </c>
      <c r="BB23" s="197">
        <f>SUBTOTAL(9,BB15:BB22)</f>
        <v>801</v>
      </c>
      <c r="BC23" s="197">
        <f>SUBTOTAL(9,BC15:BC22)</f>
        <v>508</v>
      </c>
      <c r="BD23" s="219">
        <f>IF(ISNUMBER(BA23/AZ23),BA23/AZ23," - ")</f>
        <v>1.0130511463844798</v>
      </c>
      <c r="BE23" s="220">
        <f>IF(ISNUMBER(BB23/BA23),BB23/BA23, " - ")</f>
        <v>0.27889972144846797</v>
      </c>
      <c r="BF23" s="220">
        <f>IF(ISNUMBER(BC23/BA23),BC23/BA23, " - ")</f>
        <v>0.17688022284122562</v>
      </c>
      <c r="BG23" s="221">
        <f>IF(ISNUMBER((AY23+AZ23)/BA23),(AY23+AZ23)/BA23," - ")</f>
        <v>1.2674094707520891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2631</v>
      </c>
      <c r="J31" s="144">
        <f t="shared" si="36"/>
        <v>5730</v>
      </c>
      <c r="K31" s="144">
        <f t="shared" si="36"/>
        <v>5311</v>
      </c>
      <c r="L31" s="144">
        <f t="shared" si="36"/>
        <v>3128</v>
      </c>
      <c r="M31" s="144">
        <f t="shared" si="36"/>
        <v>1169</v>
      </c>
      <c r="N31" s="144">
        <f t="shared" si="36"/>
        <v>2736</v>
      </c>
      <c r="O31" s="144">
        <f t="shared" si="36"/>
        <v>1316</v>
      </c>
      <c r="P31" s="144">
        <f t="shared" si="36"/>
        <v>683</v>
      </c>
      <c r="Q31" s="144">
        <f t="shared" si="36"/>
        <v>818</v>
      </c>
      <c r="R31" s="144">
        <f t="shared" si="36"/>
        <v>2974</v>
      </c>
      <c r="S31" s="144">
        <f t="shared" si="36"/>
        <v>2334</v>
      </c>
      <c r="T31" s="144">
        <f t="shared" si="36"/>
        <v>5228</v>
      </c>
      <c r="U31" s="144">
        <f t="shared" si="36"/>
        <v>4964</v>
      </c>
      <c r="V31" s="144">
        <f t="shared" si="36"/>
        <v>2631</v>
      </c>
      <c r="W31" s="144">
        <f t="shared" si="36"/>
        <v>1030</v>
      </c>
      <c r="X31" s="144">
        <f t="shared" si="36"/>
        <v>2245</v>
      </c>
      <c r="Y31" s="144">
        <f t="shared" si="36"/>
        <v>26</v>
      </c>
      <c r="Z31" s="144">
        <f t="shared" si="36"/>
        <v>124</v>
      </c>
      <c r="AA31" s="144">
        <f t="shared" si="36"/>
        <v>116</v>
      </c>
      <c r="AB31" s="144">
        <f t="shared" si="36"/>
        <v>34</v>
      </c>
      <c r="AC31" s="144">
        <f t="shared" si="36"/>
        <v>11</v>
      </c>
      <c r="AD31" s="144">
        <f t="shared" si="36"/>
        <v>47</v>
      </c>
      <c r="AE31" s="144">
        <f t="shared" si="36"/>
        <v>45</v>
      </c>
      <c r="AF31" s="144">
        <f t="shared" si="36"/>
        <v>13</v>
      </c>
      <c r="AG31" s="144">
        <f t="shared" si="36"/>
        <v>28</v>
      </c>
      <c r="AH31" s="144">
        <f t="shared" si="36"/>
        <v>109</v>
      </c>
      <c r="AI31" s="144">
        <f t="shared" si="36"/>
        <v>111</v>
      </c>
      <c r="AJ31" s="144">
        <f t="shared" si="36"/>
        <v>26</v>
      </c>
      <c r="AK31" s="144">
        <f t="shared" si="36"/>
        <v>11</v>
      </c>
      <c r="AL31" s="144">
        <f t="shared" si="36"/>
        <v>61</v>
      </c>
      <c r="AM31" s="144">
        <f t="shared" si="36"/>
        <v>61</v>
      </c>
      <c r="AN31" s="224">
        <f t="shared" si="36"/>
        <v>11</v>
      </c>
      <c r="AO31" s="225">
        <v>4</v>
      </c>
      <c r="AP31" s="225">
        <v>3</v>
      </c>
      <c r="AQ31" s="225">
        <v>3</v>
      </c>
      <c r="AR31" s="225">
        <v>3</v>
      </c>
      <c r="AS31" s="166">
        <f t="shared" si="36"/>
        <v>0</v>
      </c>
      <c r="AT31" s="166">
        <f t="shared" si="36"/>
        <v>0</v>
      </c>
      <c r="AU31" s="225"/>
      <c r="AV31" s="226"/>
      <c r="AW31" s="225"/>
      <c r="AX31" s="226"/>
      <c r="AY31" s="143">
        <f>SUBTOTAL(9,AY9:AY30)</f>
        <v>2362</v>
      </c>
      <c r="AZ31" s="144">
        <f>SUBTOTAL(9,AZ9:AZ30)</f>
        <v>5337</v>
      </c>
      <c r="BA31" s="144">
        <f>SUBTOTAL(9,BA9:BA30)</f>
        <v>5075</v>
      </c>
      <c r="BB31" s="144">
        <f>SUBTOTAL(9,BB9:BB30)</f>
        <v>2657</v>
      </c>
      <c r="BC31" s="145">
        <f>SUBTOTAL(9,BC9:BC30)</f>
        <v>1278</v>
      </c>
      <c r="BD31" s="227">
        <f>IF(ISNUMBER(BA31/AZ31),BA31/AZ31," - ")</f>
        <v>0.95090875023421395</v>
      </c>
      <c r="BE31" s="224">
        <f>IF(ISNUMBER(BB31/BA31),BB31/BA31, " - ")</f>
        <v>0.52354679802955661</v>
      </c>
      <c r="BF31" s="224">
        <f>IF(ISNUMBER(BC31/BA31),BC31/BA31, " - ")</f>
        <v>0.25182266009852217</v>
      </c>
      <c r="BG31" s="145">
        <f>IF(ISNUMBER((AY31+AZ31)/BA31),(AY31+AZ31)/BA31," - ")</f>
        <v>1.5170443349753695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Pg1n+ogFOwezRWPTa2k1xHCN7y9sI8r4TxSEuJJdS3ubQgRhIAXZ7bjXmZNAdgYAxQS+3NDkv4fztE/n4ynA==" saltValue="blrV0QwfO/V444EMG36y0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ZjOtOO/E2sxJRzTeM5rLPcCysPwjYt0VNFeIAoanjDSFtFAY+EOd942bmSSbOgY1fDgDfCtXhO5LP93cJTWTA==" saltValue="fnaw3jkp1PfSZte3vIblR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SANT FELIU DE GUIXOLS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32</v>
      </c>
      <c r="G10" s="543">
        <f>IF(ISNUMBER(Datos!I10),Datos!I10," - ")</f>
        <v>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3</v>
      </c>
      <c r="AD10" s="549"/>
      <c r="AE10" s="563"/>
      <c r="AF10" s="551">
        <f>IF(ISNUMBER(Datos!L10),Datos!L10,"-")</f>
        <v>30</v>
      </c>
      <c r="AG10" s="549"/>
      <c r="AH10" s="549"/>
      <c r="AI10" s="549"/>
      <c r="AJ10" s="549"/>
      <c r="AK10" s="549"/>
      <c r="AL10" s="550"/>
      <c r="AM10" s="766">
        <f>IF(ISNUMBER(Datos!R10),Datos!R10," - ")</f>
        <v>21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4</v>
      </c>
      <c r="BE10" s="693" t="str">
        <f>IF(ISNUMBER(Datos!BW10),Datos!BW10," - ")</f>
        <v xml:space="preserve"> - </v>
      </c>
      <c r="BF10" s="762" t="str">
        <f>IF(ISNUMBER(Datos!BX10),Datos!BX10," - ")</f>
        <v xml:space="preserve"> - </v>
      </c>
      <c r="BG10" s="763">
        <f>IF(ISNUMBER(Datos!K10/Datos!J10),Datos!K10/Datos!J10," - ")</f>
        <v>1.0909090909090908</v>
      </c>
      <c r="BH10" s="764">
        <f>IF(ISNUMBER(((Datos!L10/Datos!K10)*11)/factor_trimestre),((Datos!L10/Datos!K10)*11)/factor_trimestre," - ")</f>
        <v>13.75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124</v>
      </c>
      <c r="O12" s="549"/>
      <c r="P12" s="549"/>
      <c r="Q12" s="547">
        <f>IF(ISNUMBER(Datos!P12),Datos!P12,0)</f>
        <v>590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2859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586</v>
      </c>
      <c r="BD12" s="693">
        <f>IF(ISNUMBER(Datos!N12),Datos!N12," - ")</f>
        <v>1050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0.93414275202354669</v>
      </c>
      <c r="BH12" s="764">
        <f>IF(ISNUMBER(((IF(J_V="SI",Datos!L12/Datos!K12,(Datos!L12+Datos!AB12)/(Datos!K12+Datos!AA12)))*11)/factor_trimestre),((IF(J_V="SI",Datos!L12/Datos!K12,(Datos!L12+Datos!AB12)/(Datos!K12+Datos!AA12)))*11)/factor_trimestre," - ")</f>
        <v>8.5781803859787313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-4.5727636849132176E-2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32</v>
      </c>
      <c r="G14" s="1197">
        <f t="shared" si="1"/>
        <v>32</v>
      </c>
      <c r="H14" s="1198">
        <f t="shared" si="1"/>
        <v>0</v>
      </c>
      <c r="I14" s="1197">
        <f t="shared" si="1"/>
        <v>0</v>
      </c>
      <c r="J14" s="1164">
        <f t="shared" si="1"/>
        <v>0</v>
      </c>
      <c r="K14" s="1164">
        <f t="shared" si="1"/>
        <v>0</v>
      </c>
      <c r="L14" s="1198">
        <f t="shared" si="1"/>
        <v>0</v>
      </c>
      <c r="M14" s="1198">
        <f t="shared" si="1"/>
        <v>0</v>
      </c>
      <c r="N14" s="1198">
        <f t="shared" si="1"/>
        <v>124</v>
      </c>
      <c r="O14" s="1199">
        <f t="shared" si="1"/>
        <v>0</v>
      </c>
      <c r="P14" s="1199">
        <f t="shared" si="1"/>
        <v>0</v>
      </c>
      <c r="Q14" s="1198">
        <f t="shared" si="1"/>
        <v>599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730</v>
      </c>
      <c r="AD14" s="1198">
        <f t="shared" si="2"/>
        <v>0</v>
      </c>
      <c r="AE14" s="1198">
        <f t="shared" si="2"/>
        <v>0</v>
      </c>
      <c r="AF14" s="1198">
        <f t="shared" si="2"/>
        <v>30</v>
      </c>
      <c r="AG14" s="1198">
        <f t="shared" si="2"/>
        <v>0</v>
      </c>
      <c r="AH14" s="1198">
        <f t="shared" si="2"/>
        <v>34</v>
      </c>
      <c r="AI14" s="1198">
        <f t="shared" si="2"/>
        <v>0</v>
      </c>
      <c r="AJ14" s="1198">
        <f t="shared" si="2"/>
        <v>0</v>
      </c>
      <c r="AK14" s="1198">
        <f t="shared" si="2"/>
        <v>0</v>
      </c>
      <c r="AL14" s="1198">
        <f t="shared" si="2"/>
        <v>0</v>
      </c>
      <c r="AM14" s="1198">
        <f t="shared" si="2"/>
        <v>2880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591</v>
      </c>
      <c r="BD14" s="1198">
        <f t="shared" si="2"/>
        <v>1054</v>
      </c>
      <c r="BE14" s="1198">
        <f t="shared" si="2"/>
        <v>0</v>
      </c>
      <c r="BF14" s="1198">
        <f t="shared" si="2"/>
        <v>0</v>
      </c>
      <c r="BG14" s="1198">
        <f>IF(ISNUMBER(Datos!K14/Datos!J14),Datos!K14/Datos!J14," - ")</f>
        <v>0.93539755351681952</v>
      </c>
      <c r="BH14" s="1202">
        <f>IF(ISNUMBER(((Datos!L14/Datos!K14)*11)/factor_trimestre),((Datos!L14/Datos!K14)*11)/factor_trimestre," - ")</f>
        <v>8.8827135267674713</v>
      </c>
      <c r="BI14" s="1198">
        <f>IF(ISNUMBER('Resol  Asuntos'!D14/NºAsuntos!G14),'Resol  Asuntos'!D14/NºAsuntos!G14," - ")</f>
        <v>0.23058915333593444</v>
      </c>
      <c r="BJ14" s="1198" t="str">
        <f>IF(ISNUMBER(Datos!CI14/Datos!CJ14),Datos!CI14/Datos!CJ14," - ")</f>
        <v xml:space="preserve"> - </v>
      </c>
      <c r="BK14" s="1198">
        <f>SUBTOTAL(9,BK8:BK13)</f>
        <v>0</v>
      </c>
      <c r="BL14" s="1198">
        <f>IF(ISNUMBER((I14-AB14+L14)/(F14)),(I14-AB14+L14)/(F14)," - ")</f>
        <v>-0.75</v>
      </c>
      <c r="BM14" s="1203">
        <f>SUBTOTAL(9,BM9:BM13)</f>
        <v>0.35427236315086785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865</v>
      </c>
      <c r="G17" s="743">
        <f>IF(ISNUMBER(IF(D_I="SI",Datos!I17,Datos!I17+Datos!AC17)),IF(D_I="SI",Datos!I17,Datos!I17+Datos!AC17)," - ")</f>
        <v>764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2586</v>
      </c>
      <c r="AC17" s="240">
        <f>IF(ISNUMBER(Datos!Q17),Datos!Q17," - ")</f>
        <v>86</v>
      </c>
      <c r="AD17" s="374"/>
      <c r="AE17" s="562"/>
      <c r="AF17" s="741">
        <f>IF(ISNUMBER(IF(D_I="SI",Datos!L17,Datos!L17+Datos!AF17)),IF(D_I="SI",Datos!L17,Datos!L17+Datos!AF17)," - ")</f>
        <v>1101</v>
      </c>
      <c r="AG17" s="374"/>
      <c r="AH17" s="374"/>
      <c r="AI17" s="374"/>
      <c r="AJ17" s="549"/>
      <c r="AK17" s="374"/>
      <c r="AL17" s="545"/>
      <c r="AM17" s="375">
        <f>IF(ISNUMBER(Datos!R17),Datos!R17," - ")</f>
        <v>94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570</v>
      </c>
      <c r="BD17" s="243">
        <f>IF(ISNUMBER(Datos!N17),Datos!N17," - ")</f>
        <v>1514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0.91637136782423811</v>
      </c>
      <c r="BH17" s="764">
        <f>IF(ISNUMBER(((IF(D_I="SI",Datos!L17/Datos!K17,(Datos!L17+Datos!AF17)/(Datos!K17+Datos!AE17)))*11)/factor_trimestre),((IF(D_I="SI",Datos!L17/Datos!K17,(Datos!L17+Datos!AF17)/(Datos!K17+Datos!AE17)))*11)/factor_trimestre," - ")</f>
        <v>4.6832946635730863</v>
      </c>
      <c r="BI17" s="266">
        <f>IF(ISNUMBER('Resol  Asuntos'!D17/NºAsuntos!G17),'Resol  Asuntos'!D17/NºAsuntos!G17," - ")</f>
        <v>0.22041763341067286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278</v>
      </c>
      <c r="AC18" s="547">
        <f>IF(ISNUMBER(Datos!Q18),Datos!Q18," - ")</f>
        <v>2</v>
      </c>
      <c r="AD18" s="549"/>
      <c r="AE18" s="562"/>
      <c r="AF18" s="551">
        <f>IF(ISNUMBER(Datos!L18),Datos!L18,"-")</f>
        <v>51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168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0.95205479452054798</v>
      </c>
      <c r="BH18" s="764">
        <f>IF(ISNUMBER(((IF(D_I="SI",Datos!L18/Datos!K18,(Datos!L18+Datos!AF18)/(Datos!K18+Datos!AE18)))*11)/factor_trimestre),((IF(D_I="SI",Datos!L18/Datos!K18,(Datos!L18+Datos!AF18)/(Datos!K18+Datos!AE18)))*11)/factor_trimestre," - ")</f>
        <v>2.0179856115107913</v>
      </c>
      <c r="BI18" s="763">
        <f>IF(ISNUMBER('Resol  Asuntos'!D18/NºAsuntos!G18),'Resol  Asuntos'!D18/NºAsuntos!G18," - ")</f>
        <v>2.8776978417266189E-2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865</v>
      </c>
      <c r="G23" s="1197">
        <f>SUBTOTAL(9,G16:G22)</f>
        <v>801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2864</v>
      </c>
      <c r="AC23" s="1198">
        <f t="shared" si="5"/>
        <v>88</v>
      </c>
      <c r="AD23" s="1198">
        <f t="shared" si="5"/>
        <v>0</v>
      </c>
      <c r="AE23" s="1198">
        <f t="shared" si="5"/>
        <v>0</v>
      </c>
      <c r="AF23" s="1198">
        <f t="shared" si="5"/>
        <v>1152</v>
      </c>
      <c r="AG23" s="1198">
        <f t="shared" si="5"/>
        <v>0</v>
      </c>
      <c r="AH23" s="1198">
        <f t="shared" si="5"/>
        <v>0</v>
      </c>
      <c r="AI23" s="1198">
        <f t="shared" si="5"/>
        <v>0</v>
      </c>
      <c r="AJ23" s="1198">
        <f t="shared" si="5"/>
        <v>0</v>
      </c>
      <c r="AK23" s="1198">
        <f t="shared" si="5"/>
        <v>0</v>
      </c>
      <c r="AL23" s="1198">
        <f t="shared" si="5"/>
        <v>0</v>
      </c>
      <c r="AM23" s="1198">
        <f t="shared" si="5"/>
        <v>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578</v>
      </c>
      <c r="BD23" s="1198">
        <f t="shared" si="5"/>
        <v>1682</v>
      </c>
      <c r="BE23" s="1198">
        <f t="shared" si="5"/>
        <v>0</v>
      </c>
      <c r="BF23" s="1198">
        <f t="shared" si="5"/>
        <v>0</v>
      </c>
      <c r="BG23" s="1198">
        <f>IF(ISNUMBER(Datos!K23/Datos!J23),Datos!K23/Datos!J23," - ")</f>
        <v>0.91971740526653822</v>
      </c>
      <c r="BH23" s="1202">
        <f>IF(ISNUMBER(((Datos!L23/Datos!K23)*11)/factor_trimestre),((Datos!L23/Datos!K23)*11)/factor_trimestre," - ")</f>
        <v>4.4245810055865924</v>
      </c>
      <c r="BI23" s="1198">
        <f>SUBTOTAL(9,BI16:BI22)</f>
        <v>0.24919461182793906</v>
      </c>
      <c r="BJ23" s="1198">
        <f>SUBTOTAL(9,BJ16:BJ22)</f>
        <v>0</v>
      </c>
      <c r="BK23" s="1198">
        <f>SUBTOTAL(9,BK16:BK22)</f>
        <v>0</v>
      </c>
      <c r="BL23" s="1198">
        <f>IF(ISNUMBER((I23-AB23+L23)/(F23)),(I23-AB23+L23)/(F23)," - ")</f>
        <v>-3.3109826589595377</v>
      </c>
      <c r="BM23" s="1205">
        <f>IF(ISNUMBER((Datos!P23-Datos!Q23)/(Datos!R23-Datos!P23+Datos!Q23)),(Datos!P23-Datos!Q23)/(Datos!R23-Datos!P23+Datos!Q23)," - ")</f>
        <v>-4.0816326530612242E-2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897</v>
      </c>
      <c r="G31" s="1117">
        <f t="shared" si="18"/>
        <v>833</v>
      </c>
      <c r="H31" s="1119">
        <f t="shared" si="18"/>
        <v>0</v>
      </c>
      <c r="I31" s="1117">
        <f t="shared" si="18"/>
        <v>0</v>
      </c>
      <c r="J31" s="1119">
        <f t="shared" si="18"/>
        <v>0</v>
      </c>
      <c r="K31" s="1119">
        <f t="shared" si="18"/>
        <v>0</v>
      </c>
      <c r="L31" s="1180">
        <f t="shared" si="18"/>
        <v>0</v>
      </c>
      <c r="M31" s="1180">
        <f t="shared" si="18"/>
        <v>0</v>
      </c>
      <c r="N31" s="1180">
        <f t="shared" si="18"/>
        <v>124</v>
      </c>
      <c r="O31" s="1180">
        <f t="shared" si="18"/>
        <v>0</v>
      </c>
      <c r="P31" s="1180">
        <f t="shared" si="18"/>
        <v>0</v>
      </c>
      <c r="Q31" s="1119">
        <f t="shared" si="18"/>
        <v>683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2888</v>
      </c>
      <c r="AC31" s="1118">
        <f t="shared" si="19"/>
        <v>818</v>
      </c>
      <c r="AD31" s="1118">
        <f t="shared" si="19"/>
        <v>0</v>
      </c>
      <c r="AE31" s="1118">
        <f t="shared" si="19"/>
        <v>0</v>
      </c>
      <c r="AF31" s="1125">
        <f t="shared" si="19"/>
        <v>1182</v>
      </c>
      <c r="AG31" s="1125">
        <f t="shared" si="19"/>
        <v>0</v>
      </c>
      <c r="AH31" s="1125">
        <f t="shared" si="19"/>
        <v>34</v>
      </c>
      <c r="AI31" s="1125">
        <f t="shared" si="19"/>
        <v>0</v>
      </c>
      <c r="AJ31" s="1118">
        <f t="shared" si="19"/>
        <v>0</v>
      </c>
      <c r="AK31" s="1125">
        <f t="shared" si="19"/>
        <v>0</v>
      </c>
      <c r="AL31" s="1125">
        <f t="shared" si="19"/>
        <v>0</v>
      </c>
      <c r="AM31" s="1125">
        <f t="shared" si="19"/>
        <v>2974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1169</v>
      </c>
      <c r="BD31" s="1117">
        <f t="shared" si="19"/>
        <v>2736</v>
      </c>
      <c r="BE31" s="1117">
        <f t="shared" si="19"/>
        <v>0</v>
      </c>
      <c r="BF31" s="1127">
        <f t="shared" si="19"/>
        <v>0</v>
      </c>
      <c r="BG31" s="1223">
        <f>IF(ISNUMBER(Datos!K31/Datos!J31),Datos!K31/Datos!J31," - ")</f>
        <v>0.92687609075043631</v>
      </c>
      <c r="BH31" s="1223">
        <f>IF(ISNUMBER(((Datos!L31/Datos!K31)*11)/factor_trimestre),((Datos!L31/Datos!K31)*11)/factor_trimestre," - ")</f>
        <v>6.4786292600263611</v>
      </c>
      <c r="BI31" s="1103">
        <f>IF(ISNUMBER(Datos!J31/Datos!I31),Datos!J31/Datos!I31," - ")</f>
        <v>2.1778791334093501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-3.2196209587513933</v>
      </c>
      <c r="BM31" s="1188">
        <f>IF(ISNUMBER((Datos!P31-Datos!Q31+R31)/(Datos!R31-Datos!P31+Datos!Q31-R31)),(Datos!P31-Datos!Q31+R31)/(Datos!R31-Datos!P31+Datos!Q31-R31)," - ")</f>
        <v>-4.3422322290125444E-2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438.65521768240711</v>
      </c>
      <c r="G33" s="674">
        <f>IF(ISNUMBER(STDEV(G8:G30)),STDEV(G8:G30),"-")</f>
        <v>372.4258315423354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1303.9876569675841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309.02369303524745</v>
      </c>
      <c r="BD33" s="673"/>
      <c r="BE33" s="673">
        <f>IF(ISNUMBER(STDEV(BE8:BE30)),STDEV(BE8:BE30),"-")</f>
        <v>0</v>
      </c>
      <c r="BF33" s="678">
        <f>IF(ISNUMBER(STDEV(BF8:BF30)),STDEV(BF8:BF30),"-")</f>
        <v>0</v>
      </c>
      <c r="BG33" s="1052">
        <f>IF(ISNUMBER(STDEV(BG8:BG30)),STDEV(BG8:BG30),"-")</f>
        <v>6.6300305063849235E-2</v>
      </c>
      <c r="BH33" s="1058">
        <f>IF(ISNUMBER(STDEV(BH8:BH30)),STDEV(BH8:BH30),"-")</f>
        <v>4.2047410587947835</v>
      </c>
      <c r="BI33" s="273">
        <f>IF(ISNUMBER(STDEV(BI8:BI30)),STDEV(BI8:BI30),"-")</f>
        <v>0.10300322207750845</v>
      </c>
      <c r="BJ33" s="244" t="str">
        <f>IF(ISNUMBER(BL33/BM33),BL33/BM33," - ")</f>
        <v xml:space="preserve"> - </v>
      </c>
      <c r="BK33" s="709"/>
      <c r="BL33" s="681">
        <f>IF(ISNUMBER(STDEV(BL8:BL30)),STDEV(BL8:BL30),"-")</f>
        <v>1.8108882046514445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nMcoNeCXBsB7qTLsV+SFzaHLO+vNVXrXigg84Oq9p3jCIaZnRcOkRVMTIpRL7hrSqrkOsDP/DraXrE//rVs6eg==" saltValue="i0BfABn21K6RfFO5W4mXG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SANT FELIU DE GUIXOLS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32</v>
      </c>
      <c r="G10" s="552">
        <f>IF(ISNUMBER(Datos!I10),Datos!I10," - ")</f>
        <v>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3</v>
      </c>
      <c r="AA10" s="551">
        <f>IF(ISNUMBER(Datos!L10),Datos!L10,"-")</f>
        <v>30</v>
      </c>
      <c r="AB10" s="549"/>
      <c r="AC10" s="549"/>
      <c r="AD10" s="563"/>
      <c r="AE10" s="563">
        <f>IF(ISNUMBER(Datos!R10),Datos!R10," - ")</f>
        <v>21</v>
      </c>
      <c r="AF10" s="693" t="str">
        <f>IF(ISNUMBER(Datos!BV10),Datos!BV10," - ")</f>
        <v xml:space="preserve"> - </v>
      </c>
      <c r="AG10" s="552" t="str">
        <f>IF(ISNUMBER(Datos!DV10),Datos!DV10," - ")</f>
        <v xml:space="preserve"> - </v>
      </c>
      <c r="AH10" s="553"/>
      <c r="AI10" s="554"/>
      <c r="AJ10" s="552">
        <f>IF(ISNUMBER(Datos!M10),Datos!M10," - ")</f>
        <v>5</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590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727</v>
      </c>
      <c r="AA12" s="551" t="str">
        <f>IF(ISNUMBER(IF(J_V="SI",Datos!L12,Datos!L12+Datos!AB12)-IF(Monitorios="SI",Datos!CD12,0)),
                          IF(J_V="SI",Datos!L12,Datos!L12+Datos!AB12)-IF(Monitorios="SI",Datos!CD12,0),
                          " - ")</f>
        <v xml:space="preserve"> - </v>
      </c>
      <c r="AB12" s="549"/>
      <c r="AC12" s="549"/>
      <c r="AD12" s="563"/>
      <c r="AE12" s="563">
        <f>IF(ISNUMBER(Datos!R12),Datos!R12," - ")</f>
        <v>2859</v>
      </c>
      <c r="AF12" s="693" t="str">
        <f>IF(ISNUMBER(Datos!BV12),Datos!BV12," - ")</f>
        <v xml:space="preserve"> - </v>
      </c>
      <c r="AG12" s="552" t="str">
        <f>IF(ISNUMBER(Datos!DV12),Datos!DV12," - ")</f>
        <v xml:space="preserve"> - </v>
      </c>
      <c r="AH12" s="553"/>
      <c r="AI12" s="554"/>
      <c r="AJ12" s="552">
        <f>IF(ISNUMBER(Datos!M12),Datos!M12," - ")</f>
        <v>586</v>
      </c>
      <c r="AK12" s="693">
        <f>IF(ISNUMBER(Datos!N12),Datos!N12," - ")</f>
        <v>1050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8.5781803859787313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-4.5727636849132176E-2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32</v>
      </c>
      <c r="G14" s="1197">
        <f>SUBTOTAL(9,G8:G13)</f>
        <v>32</v>
      </c>
      <c r="H14" s="1211"/>
      <c r="I14" s="1197">
        <f t="shared" ref="I14:N14" si="1">SUBTOTAL(9,I8:I13)</f>
        <v>0</v>
      </c>
      <c r="J14" s="1164">
        <f t="shared" si="1"/>
        <v>0</v>
      </c>
      <c r="K14" s="1211">
        <f t="shared" si="1"/>
        <v>0</v>
      </c>
      <c r="L14" s="1211">
        <f t="shared" si="1"/>
        <v>0</v>
      </c>
      <c r="M14" s="1211">
        <f t="shared" si="1"/>
        <v>0</v>
      </c>
      <c r="N14" s="1211">
        <f t="shared" si="1"/>
        <v>599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730</v>
      </c>
      <c r="AA14" s="1199">
        <f t="shared" si="3"/>
        <v>30</v>
      </c>
      <c r="AB14" s="1199">
        <f t="shared" si="3"/>
        <v>0</v>
      </c>
      <c r="AC14" s="1199">
        <f t="shared" si="3"/>
        <v>0</v>
      </c>
      <c r="AD14" s="1199">
        <f t="shared" si="3"/>
        <v>0</v>
      </c>
      <c r="AE14" s="1199">
        <f t="shared" si="3"/>
        <v>2880</v>
      </c>
      <c r="AF14" s="1211">
        <f t="shared" si="3"/>
        <v>0</v>
      </c>
      <c r="AG14" s="1211">
        <f t="shared" si="3"/>
        <v>0</v>
      </c>
      <c r="AH14" s="1211">
        <f t="shared" si="3"/>
        <v>0</v>
      </c>
      <c r="AI14" s="1211">
        <f t="shared" si="3"/>
        <v>0</v>
      </c>
      <c r="AJ14" s="1211">
        <f t="shared" si="3"/>
        <v>591</v>
      </c>
      <c r="AK14" s="1211">
        <f t="shared" si="3"/>
        <v>1054</v>
      </c>
      <c r="AL14" s="1211">
        <f t="shared" si="3"/>
        <v>0</v>
      </c>
      <c r="AM14" s="1211">
        <f t="shared" si="3"/>
        <v>0</v>
      </c>
      <c r="AN14" s="1211">
        <f t="shared" si="3"/>
        <v>0</v>
      </c>
      <c r="AO14" s="1203">
        <f>IF(ISNUMBER(((NºAsuntos!I14/NºAsuntos!G14)*11)/factor_trimestre),((NºAsuntos!I14/NºAsuntos!G14)*11)/factor_trimestre," - ")</f>
        <v>8.6266094420600847</v>
      </c>
      <c r="AP14" s="1213" t="str">
        <f>IF(ISNUMBER(Datos!CI14/Datos!CJ14),Datos!CI14/Datos!CJ14," - ")</f>
        <v xml:space="preserve"> - </v>
      </c>
      <c r="AQ14" s="1236">
        <f t="shared" ref="AQ14:AV14" si="4">SUBTOTAL(9,AQ9:AQ13)</f>
        <v>0</v>
      </c>
      <c r="AR14" s="1236">
        <f t="shared" si="4"/>
        <v>0.35427236315086785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865</v>
      </c>
      <c r="G17" s="552">
        <f>IF(ISNUMBER(IF(D_I="SI",Datos!I17,Datos!I17+Datos!AC17)),IF(D_I="SI",Datos!I17,Datos!I17+Datos!AC17)," - ")</f>
        <v>764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2586</v>
      </c>
      <c r="Z17" s="805">
        <f>IF(ISNUMBER(Datos!Q17),Datos!Q17," - ")</f>
        <v>86</v>
      </c>
      <c r="AA17" s="551">
        <f>IF(ISNUMBER(IF(D_I="SI",Datos!L17,Datos!L17+Datos!AF17)),IF(D_I="SI",Datos!L17,Datos!L17+Datos!AF17)," - ")</f>
        <v>1101</v>
      </c>
      <c r="AB17" s="549"/>
      <c r="AC17" s="549"/>
      <c r="AD17" s="563"/>
      <c r="AE17" s="563">
        <f>IF(ISNUMBER(Datos!R17),Datos!R17," - ")</f>
        <v>94</v>
      </c>
      <c r="AF17" s="693" t="str">
        <f>IF(ISNUMBER(Datos!BV17),Datos!BV17," - ")</f>
        <v xml:space="preserve"> - </v>
      </c>
      <c r="AG17" s="552"/>
      <c r="AH17" s="553"/>
      <c r="AI17" s="554"/>
      <c r="AJ17" s="552">
        <f>IF(ISNUMBER(Datos!M17),Datos!M17," - ")</f>
        <v>570</v>
      </c>
      <c r="AK17" s="693">
        <f>IF(ISNUMBER(Datos!N17),Datos!N17," - ")</f>
        <v>1514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4.6832946635730863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278</v>
      </c>
      <c r="Z18" s="805">
        <f>IF(ISNUMBER(Datos!Q18),Datos!Q18," - ")</f>
        <v>2</v>
      </c>
      <c r="AA18" s="551">
        <f>IF(ISNUMBER(Datos!L18),Datos!L18,"-")</f>
        <v>51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168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2.0179856115107913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865</v>
      </c>
      <c r="G23" s="1197">
        <f>SUBTOTAL(9,G16:G22)</f>
        <v>801</v>
      </c>
      <c r="H23" s="1240">
        <f>SUBTOTAL(9,H16:H22)</f>
        <v>0</v>
      </c>
      <c r="I23" s="1217">
        <f>SUBTOTAL(9,I16:I22)</f>
        <v>0</v>
      </c>
      <c r="J23" s="1164">
        <f>SUBTOTAL(9,J15:J22)</f>
        <v>0</v>
      </c>
      <c r="K23" s="1240">
        <f t="shared" ref="K23:S23" si="5">SUBTOTAL(9,K16:K22)</f>
        <v>0</v>
      </c>
      <c r="L23" s="1240">
        <f t="shared" si="5"/>
        <v>0</v>
      </c>
      <c r="M23" s="1240">
        <f t="shared" si="5"/>
        <v>0</v>
      </c>
      <c r="N23" s="1240">
        <f t="shared" si="5"/>
        <v>84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2864</v>
      </c>
      <c r="Z23" s="1240">
        <f t="shared" si="6"/>
        <v>88</v>
      </c>
      <c r="AA23" s="1240">
        <f t="shared" si="6"/>
        <v>1152</v>
      </c>
      <c r="AB23" s="1240">
        <f t="shared" si="6"/>
        <v>0</v>
      </c>
      <c r="AC23" s="1240">
        <f t="shared" si="6"/>
        <v>0</v>
      </c>
      <c r="AD23" s="1240">
        <f t="shared" si="6"/>
        <v>0</v>
      </c>
      <c r="AE23" s="1240">
        <f t="shared" si="6"/>
        <v>94</v>
      </c>
      <c r="AF23" s="1240">
        <f t="shared" si="6"/>
        <v>0</v>
      </c>
      <c r="AG23" s="1240">
        <f t="shared" si="6"/>
        <v>0</v>
      </c>
      <c r="AH23" s="1240">
        <f t="shared" si="6"/>
        <v>0</v>
      </c>
      <c r="AI23" s="1240">
        <f t="shared" si="6"/>
        <v>0</v>
      </c>
      <c r="AJ23" s="1240">
        <f t="shared" si="6"/>
        <v>578</v>
      </c>
      <c r="AK23" s="1240">
        <f t="shared" si="6"/>
        <v>1682</v>
      </c>
      <c r="AL23" s="1240">
        <f t="shared" si="6"/>
        <v>0</v>
      </c>
      <c r="AM23" s="1240">
        <f t="shared" si="6"/>
        <v>0</v>
      </c>
      <c r="AN23" s="1240">
        <f t="shared" si="6"/>
        <v>0</v>
      </c>
      <c r="AO23" s="1242">
        <f>IF(ISNUMBER(((NºAsuntos!I23/NºAsuntos!G23)*11)/factor_trimestre),((NºAsuntos!I23/NºAsuntos!G23)*11)/factor_trimestre," - ")</f>
        <v>4.4245810055865924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897</v>
      </c>
      <c r="G31" s="1117">
        <f t="shared" si="12"/>
        <v>833</v>
      </c>
      <c r="H31" s="1118">
        <f t="shared" si="12"/>
        <v>0</v>
      </c>
      <c r="I31" s="1117">
        <f t="shared" si="12"/>
        <v>0</v>
      </c>
      <c r="J31" s="1119">
        <f t="shared" si="12"/>
        <v>0</v>
      </c>
      <c r="K31" s="1117">
        <f t="shared" si="12"/>
        <v>0</v>
      </c>
      <c r="L31" s="1120">
        <f t="shared" si="12"/>
        <v>0</v>
      </c>
      <c r="M31" s="1117">
        <f t="shared" si="12"/>
        <v>0</v>
      </c>
      <c r="N31" s="1118">
        <f t="shared" si="12"/>
        <v>683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2888</v>
      </c>
      <c r="Z31" s="1124">
        <f t="shared" si="13"/>
        <v>818</v>
      </c>
      <c r="AA31" s="1125">
        <f t="shared" si="13"/>
        <v>1182</v>
      </c>
      <c r="AB31" s="1125">
        <f t="shared" si="13"/>
        <v>0</v>
      </c>
      <c r="AC31" s="1125">
        <f t="shared" si="13"/>
        <v>0</v>
      </c>
      <c r="AD31" s="1126">
        <f t="shared" si="13"/>
        <v>0</v>
      </c>
      <c r="AE31" s="1126">
        <f t="shared" si="13"/>
        <v>2974</v>
      </c>
      <c r="AF31" s="1127">
        <f t="shared" si="13"/>
        <v>0</v>
      </c>
      <c r="AG31" s="1128">
        <f t="shared" si="13"/>
        <v>0</v>
      </c>
      <c r="AH31" s="1129">
        <f t="shared" si="13"/>
        <v>0</v>
      </c>
      <c r="AI31" s="1127">
        <f t="shared" si="13"/>
        <v>0</v>
      </c>
      <c r="AJ31" s="1117">
        <f t="shared" si="13"/>
        <v>1169</v>
      </c>
      <c r="AK31" s="1117">
        <f t="shared" si="13"/>
        <v>2736</v>
      </c>
      <c r="AL31" s="1117">
        <f t="shared" si="13"/>
        <v>0</v>
      </c>
      <c r="AM31" s="1130">
        <f t="shared" si="13"/>
        <v>0</v>
      </c>
      <c r="AN31" s="1120">
        <f>IF(ISNUMBER(Datos!K31/Datos!J31),Datos!K31/Datos!J31," - ")</f>
        <v>0.92687609075043631</v>
      </c>
      <c r="AO31" s="1120">
        <f>IF(ISNUMBER(FIND("06",Criterios!A8,1)),(IF(ISNUMBER(((Datos!R31/Datos!Q31)*11)/factor_trimestre),((Datos!R31/Datos!Q31)*11)/factor_trimestre," - ")),(IF(ISNUMBER(((Datos!L31/Datos!K31)*11)/factor_trimestre),((Datos!L31/Datos!K31)*11)/factor_trimestre," - ")))</f>
        <v>6.4786292600263611</v>
      </c>
      <c r="AP31" s="1131" t="str">
        <f>IF(ISNUMBER(Datos!CI31/Datos!CJ31),Datos!CI31/Datos!CJ31," - ")</f>
        <v xml:space="preserve"> - </v>
      </c>
      <c r="AQ31" s="1131">
        <f>IF(OR(ISNUMBER(FIND("01",Criterios!A8,1)),ISNUMBER(FIND("02",Criterios!A8,1)),ISNUMBER(FIND("03",Criterios!A8,1)),ISNUMBER(FIND("04",Criterios!A8,1))),(J31-Y31+K31)/(F31-K31),(I31-Y31+K31)/(F31-K31))</f>
        <v>-3.2196209587513933</v>
      </c>
      <c r="AR31" s="1131">
        <f>IF(ISNUMBER((Datos!P31-Datos!Q31+O31)/(Datos!R31-Datos!P31+Datos!Q31-O31)),(Datos!P31-Datos!Q31+O31)/(Datos!R31-Datos!P31+Datos!Q31-O31)," - ")</f>
        <v>-4.3422322290125444E-2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438.65521768240711</v>
      </c>
      <c r="G33" s="674">
        <f>IF(ISNUMBER(STDEV(G8:G30)),STDEV(G8:G30),"-")</f>
        <v>372.4258315423354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309.02369303524745</v>
      </c>
      <c r="AK33" s="276"/>
      <c r="AL33" s="276">
        <f>IF(ISNUMBER(STDEV(AL8:AL30)),STDEV(AL8:AL30),"-")</f>
        <v>0</v>
      </c>
      <c r="AM33" s="278">
        <f>IF(ISNUMBER(STDEV(AM8:AM30)),STDEV(AM8:AM30),"-")</f>
        <v>0</v>
      </c>
      <c r="AN33" s="660">
        <f>IF(ISNUMBER(STDEV(AN8:AN30)),STDEV(AN8:AN30),"-")</f>
        <v>0</v>
      </c>
      <c r="AO33" s="661">
        <f>IF(ISNUMBER(STDEV(AO8:AO30)),STDEV(AO8:AO30),"-")</f>
        <v>4.1837375990181824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36J+t6jMoBAKMe5TNKol2l4gAUae1nebUAQahy4M0/+1Yo/jcB6xY1lSja/9xaMjnIUmWmJRMfV+0z9zr7dtnw==" saltValue="2P3GNnDdCuvB0pcxvt/8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iS9A55juUxzcLVZxuWXFjQKBccLSpmObKUkapx/kA3SjAqt4T45np3NjBAy9XVw1xL3dzd7WVOCgl3zx2oHIg==" saltValue="qQRhkxuelQVNSMNW0NbT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5aaQIy2QI4dSlsO1GwLEmhzKUZ1ovDZQTJMS2h3F0bmjVazdJfNbHZKe143SLAtyGCz5JRjYiwIqBwXZmpwKw==" saltValue="o6Vh3BN6zmv6Mq2HX/kIx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SANT FELIU DE GUIXOLS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0.23058915333593444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0.16305115399190384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wKBe3Gif24VGsL7naNTR4QYRJEKFsq3DVzAMM1+nNQy5bmDT97VjJXwi3vktXp35SpnrJJbA6+WX8yJ0xcZWGA==" saltValue="9d4dgFRvslY1IrzdOdgq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lTFAOLQARCwGwu9AmvlEX200Mwl6qL3oqp2maS9uucjbz3C6ML/pL2B1uhFOuq8j+JzY786qFDSDRM80i/kzaw==" saltValue="/YaeiJmQEMqja+xBnjvh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SANT FELIU DE GUIXOLS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32</v>
      </c>
      <c r="D10" s="452">
        <f>IF(ISNUMBER(C10/Datos!BH10),C10/Datos!BH10," - ")</f>
        <v>32</v>
      </c>
      <c r="E10" s="451">
        <f>IF(ISNUMBER(Datos!J10),Datos!J10," - ")</f>
        <v>22</v>
      </c>
      <c r="F10" s="452">
        <f>IF(ISNUMBER(E10/B10),E10/B10," - ")</f>
        <v>22</v>
      </c>
      <c r="G10" s="451">
        <f>IF(ISNUMBER(Datos!K10),Datos!K10," - ")</f>
        <v>24</v>
      </c>
      <c r="H10" s="452">
        <f>IF(ISNUMBER(G10/B10),G10/B10," - ")</f>
        <v>24</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1824</v>
      </c>
      <c r="D12" s="452">
        <f>IF(ISNUMBER(C12/Datos!BH12),C12/Datos!BH12," - ")</f>
        <v>608</v>
      </c>
      <c r="E12" s="451">
        <f>IF(ISNUMBER(IF(J_V="SI",Datos!J12,Datos!J12+Datos!Z12)),IF(J_V="SI",Datos!J12,Datos!J12+Datos!Z12)," - ")</f>
        <v>2718</v>
      </c>
      <c r="F12" s="452">
        <f>IF(ISNUMBER(E12/B12),E12/B12," - ")</f>
        <v>906</v>
      </c>
      <c r="G12" s="451">
        <f>IF(ISNUMBER(IF(J_V="SI",Datos!K12,Datos!K12+Datos!AA12)),IF(J_V="SI",Datos!K12,Datos!K12+Datos!AA12)," - ")</f>
        <v>2539</v>
      </c>
      <c r="H12" s="452">
        <f>IF(ISNUMBER(G12/B12),G12/B12," - ")</f>
        <v>846.33333333333337</v>
      </c>
      <c r="I12" s="451">
        <f>IF(ISNUMBER(IF(J_V="SI",Datos!L12,Datos!L12+Datos!AB12)),IF(J_V="SI",Datos!L12,Datos!L12+Datos!AB12)," - ")</f>
        <v>1980</v>
      </c>
      <c r="J12" s="452">
        <f>IF(ISNUMBER(I12/B12),I12/B12," - ")</f>
        <v>660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1856</v>
      </c>
      <c r="D14" s="1147" t="str">
        <f>IF(ISNUMBER(C14/Datos!BI14),C14/Datos!BI14," - ")</f>
        <v xml:space="preserve"> - </v>
      </c>
      <c r="E14" s="1146">
        <f>SUBTOTAL(9,E8:E13)</f>
        <v>2740</v>
      </c>
      <c r="F14" s="1147">
        <f>IF(ISNUMBER(E14/B14),E14/B14," - ")</f>
        <v>913.33333333333337</v>
      </c>
      <c r="G14" s="1146">
        <f>SUBTOTAL(9,G8:G13)</f>
        <v>2563</v>
      </c>
      <c r="H14" s="1147">
        <f>IF(ISNUMBER(G14/B14),G14/B14," - ")</f>
        <v>854.33333333333337</v>
      </c>
      <c r="I14" s="1146">
        <f>SUBTOTAL(9,I8:I13)</f>
        <v>2010</v>
      </c>
      <c r="J14" s="1147">
        <f>IF(ISNUMBER(I14/B14),I14/B14," - ")</f>
        <v>670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764</v>
      </c>
      <c r="D17" s="452">
        <f>IF(ISNUMBER(C17/Datos!BH17),C17/Datos!BH17," - ")</f>
        <v>254.66666666666666</v>
      </c>
      <c r="E17" s="451">
        <f>IF(ISNUMBER(IF(D_I="SI",Datos!J17,Datos!J17+Datos!AD17)),IF(D_I="SI",Datos!J17,Datos!J17+Datos!AD17)," - ")</f>
        <v>2822</v>
      </c>
      <c r="F17" s="452">
        <f>IF(ISNUMBER(E17/B17),E17/B17," - ")</f>
        <v>940.66666666666663</v>
      </c>
      <c r="G17" s="451">
        <f>IF(ISNUMBER(IF(D_I="SI",Datos!K17,Datos!K17+Datos!AE17)),IF(D_I="SI",Datos!K17,Datos!K17+Datos!AE17)," - ")</f>
        <v>2586</v>
      </c>
      <c r="H17" s="452">
        <f>IF(ISNUMBER(G17/B17),G17/B17," - ")</f>
        <v>862</v>
      </c>
      <c r="I17" s="451">
        <f>IF(ISNUMBER(IF(D_I="SI",Datos!L17,Datos!L17+Datos!AF17)),IF(D_I="SI",Datos!L17,Datos!L17+Datos!AF17)," - ")</f>
        <v>1101</v>
      </c>
      <c r="J17" s="452">
        <f>IF(ISNUMBER(I17/B17),I17/B17," - ")</f>
        <v>367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37</v>
      </c>
      <c r="D18" s="452">
        <f>IF(ISNUMBER(C18/Datos!BH18),C18/Datos!BH18," - ")</f>
        <v>37</v>
      </c>
      <c r="E18" s="451">
        <f>IF(ISNUMBER(IF(D_I="SI",Datos!J18,Datos!J18+Datos!AD18)),IF(D_I="SI",Datos!J18,Datos!J18+Datos!AD18)," - ")</f>
        <v>292</v>
      </c>
      <c r="F18" s="452">
        <f>IF(ISNUMBER(E18/B18),E18/B18," - ")</f>
        <v>292</v>
      </c>
      <c r="G18" s="451">
        <f>IF(ISNUMBER(IF(D_I="SI",Datos!K18,Datos!K18+Datos!AE18)),IF(D_I="SI",Datos!K18,Datos!K18+Datos!AE18)," - ")</f>
        <v>278</v>
      </c>
      <c r="H18" s="452">
        <f>IF(ISNUMBER(G18/B18),G18/B18," - ")</f>
        <v>278</v>
      </c>
      <c r="I18" s="451">
        <f>IF(ISNUMBER(IF(D_I="SI",Datos!L18,Datos!L18+Datos!AF18)),IF(D_I="SI",Datos!L18,Datos!L18+Datos!AF18)," - ")</f>
        <v>51</v>
      </c>
      <c r="J18" s="452">
        <f>IF(ISNUMBER(I18/B18),I18/B18," - ")</f>
        <v>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801</v>
      </c>
      <c r="D23" s="1147" t="str">
        <f>IF(ISNUMBER(C23/Datos!BI23),C23/Datos!BI23," - ")</f>
        <v xml:space="preserve"> - </v>
      </c>
      <c r="E23" s="1146">
        <f>SUBTOTAL(9,E15:E22)</f>
        <v>3114</v>
      </c>
      <c r="F23" s="1147">
        <f>IF(ISNUMBER(E23/B23),E23/B23," - ")</f>
        <v>1038</v>
      </c>
      <c r="G23" s="1146">
        <f>SUBTOTAL(9,G15:G22)</f>
        <v>2864</v>
      </c>
      <c r="H23" s="1147">
        <f>IF(ISNUMBER(G23/B23),G23/B23," - ")</f>
        <v>954.66666666666663</v>
      </c>
      <c r="I23" s="1146">
        <f>SUBTOTAL(9,I15:I22)</f>
        <v>1152</v>
      </c>
      <c r="J23" s="1147">
        <f>IF(ISNUMBER(I23/B23),I23/B23," - ")</f>
        <v>384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2657</v>
      </c>
      <c r="D31" s="1085" t="str">
        <f>IF(ISNUMBER(C31/Datos!BI31),C31/Datos!BI31," - ")</f>
        <v xml:space="preserve"> - </v>
      </c>
      <c r="E31" s="1084">
        <f>SUBTOTAL(9,E9:E30)</f>
        <v>5854</v>
      </c>
      <c r="F31" s="1085">
        <f>IF(ISNUMBER(E31/B31),E31/B31," - ")</f>
        <v>1951.3333333333333</v>
      </c>
      <c r="G31" s="1084">
        <f>SUBTOTAL(9,G9:G30)</f>
        <v>5427</v>
      </c>
      <c r="H31" s="1085">
        <f>IF(ISNUMBER(G31/B31),G31/B31," - ")</f>
        <v>1809</v>
      </c>
      <c r="I31" s="1084">
        <f>SUBTOTAL(9,I9:I30)</f>
        <v>3162</v>
      </c>
      <c r="J31" s="1085">
        <f>IF(ISNUMBER(I31/B31),I31/B31," - ")</f>
        <v>1054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NCTbd43TJqoRSD2QOceOS31TcVeew/YGnRzZmlfvYpjoAUF7rMFyAZaZmuYsEQKvrtLQu6plz+6zokIBIDG3FA==" saltValue="cY0tcCIUJrfOZnWrPXn6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SANT FELIU DE GUIXOLS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32</v>
      </c>
      <c r="G10" s="906">
        <f>IF(ISNUMBER(Datos!I10),Datos!I10," - ")</f>
        <v>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590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2859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586</v>
      </c>
      <c r="AM12" s="914">
        <f>IF(ISNUMBER(Datos!N12+DatosP!N17),Datos!N12+DatosP!N17," - ")</f>
        <v>1050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8.5781803859787313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-4.5727636849132176E-2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32</v>
      </c>
      <c r="G14" s="1256">
        <f t="shared" si="0"/>
        <v>32</v>
      </c>
      <c r="H14" s="1256">
        <f t="shared" si="0"/>
        <v>0</v>
      </c>
      <c r="I14" s="1258">
        <f t="shared" si="0"/>
        <v>0</v>
      </c>
      <c r="J14" s="1257">
        <f t="shared" si="0"/>
        <v>0</v>
      </c>
      <c r="K14" s="1257">
        <f t="shared" si="0"/>
        <v>0</v>
      </c>
      <c r="L14" s="1259">
        <f t="shared" si="0"/>
        <v>0</v>
      </c>
      <c r="M14" s="1259">
        <f t="shared" si="0"/>
        <v>0</v>
      </c>
      <c r="N14" s="1257">
        <f t="shared" si="0"/>
        <v>599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727</v>
      </c>
      <c r="AE14" s="1257">
        <f t="shared" si="1"/>
        <v>0</v>
      </c>
      <c r="AF14" s="1257">
        <f t="shared" si="1"/>
        <v>30</v>
      </c>
      <c r="AG14" s="1257">
        <f t="shared" si="1"/>
        <v>0</v>
      </c>
      <c r="AH14" s="1257">
        <f t="shared" si="1"/>
        <v>2859</v>
      </c>
      <c r="AI14" s="1257">
        <f t="shared" si="1"/>
        <v>0</v>
      </c>
      <c r="AJ14" s="1257">
        <f t="shared" si="1"/>
        <v>0</v>
      </c>
      <c r="AK14" s="1257">
        <f t="shared" si="1"/>
        <v>0</v>
      </c>
      <c r="AL14" s="1257">
        <f t="shared" si="1"/>
        <v>591</v>
      </c>
      <c r="AM14" s="1257">
        <f t="shared" si="1"/>
        <v>1054</v>
      </c>
      <c r="AN14" s="1257">
        <f t="shared" si="1"/>
        <v>0</v>
      </c>
      <c r="AO14" s="1257">
        <f t="shared" si="1"/>
        <v>0</v>
      </c>
      <c r="AP14" s="1262">
        <f>IF(ISNUMBER(((Datos!L14/Datos!K14)*11)/factor_trimestre),((Datos!L14/Datos!K14)*11)/factor_trimestre," - ")</f>
        <v>8.8827135267674713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-0.75</v>
      </c>
      <c r="AU14" s="1257" t="str">
        <f>IF(ISNUMBER((DatosP!#REF!-DatosP!#REF!+DatosP!#REF!)/(DatosP!#REF!+DatosP!#REF!-DatosP!#REF!-DatosP!#REF!)),(DatosP!#REF!-DatosP!#REF!+DatosP!#REF!)/(DatosP!#REF!+DatosP!#REF!-DatosP!#REF!-DatosP!#REF!)," - ")</f>
        <v xml:space="preserve"> - </v>
      </c>
      <c r="AV14" s="1263">
        <f>SUBTOTAL(9,AV9:AV13)</f>
        <v>-4.5727636849132176E-2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4.4245810055865924</v>
      </c>
      <c r="AQ23" s="1262">
        <f>IF(ISNUMBER(((Datos!M23/Datos!L23)*11)/factor_trimestre),((Datos!M23/Datos!L23)*11)/factor_trimestre," - ")</f>
        <v>5.5190972222222232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-4.0816326530612242E-2</v>
      </c>
      <c r="AW23" s="1265">
        <f>IF(ISNUMBER((Datos!Q23-Datos!R23)/(Datos!S23-Datos!Q23+Datos!R23)),(Datos!Q23-Datos!R23)/(Datos!S23-Datos!Q23+Datos!R23)," - ")</f>
        <v>-7.3982737361282368E-3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32</v>
      </c>
      <c r="G31" s="1278">
        <f t="shared" si="8"/>
        <v>32</v>
      </c>
      <c r="H31" s="1278">
        <f t="shared" si="8"/>
        <v>0</v>
      </c>
      <c r="I31" s="1279">
        <f t="shared" si="8"/>
        <v>0</v>
      </c>
      <c r="J31" s="1280">
        <f t="shared" si="8"/>
        <v>0</v>
      </c>
      <c r="K31" s="1280">
        <f t="shared" si="8"/>
        <v>0</v>
      </c>
      <c r="L31" s="1280">
        <f t="shared" si="8"/>
        <v>0</v>
      </c>
      <c r="M31" s="1280">
        <f t="shared" si="8"/>
        <v>0</v>
      </c>
      <c r="N31" s="1279">
        <f t="shared" si="8"/>
        <v>599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727</v>
      </c>
      <c r="AE31" s="1284">
        <f t="shared" si="9"/>
        <v>0</v>
      </c>
      <c r="AF31" s="1285">
        <f t="shared" si="9"/>
        <v>30</v>
      </c>
      <c r="AG31" s="1285">
        <f t="shared" si="9"/>
        <v>0</v>
      </c>
      <c r="AH31" s="1285">
        <f t="shared" si="9"/>
        <v>2859</v>
      </c>
      <c r="AI31" s="1285">
        <f t="shared" si="9"/>
        <v>0</v>
      </c>
      <c r="AJ31" s="1286">
        <f t="shared" si="9"/>
        <v>0</v>
      </c>
      <c r="AK31" s="1286">
        <f t="shared" si="9"/>
        <v>0</v>
      </c>
      <c r="AL31" s="1278">
        <f t="shared" si="9"/>
        <v>591</v>
      </c>
      <c r="AM31" s="1278">
        <f t="shared" si="9"/>
        <v>1054</v>
      </c>
      <c r="AN31" s="1278">
        <f t="shared" si="9"/>
        <v>0</v>
      </c>
      <c r="AO31" s="1278">
        <f t="shared" si="9"/>
        <v>0</v>
      </c>
      <c r="AP31" s="1278">
        <f>IF(ISNUMBER(((Datos!L31/Datos!K31)*11)/factor_trimestre),((Datos!L31/Datos!K31)*11)/factor_trimestre," - ")</f>
        <v>6.4786292600263611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-4.3422322290125444E-2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17.527121840165314</v>
      </c>
      <c r="G33" s="1007">
        <f>IF(ISNUMBER(STDEV(G8:G30)),STDEV(G8:G30),"-")</f>
        <v>17.527121840165314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303.26490070563722</v>
      </c>
      <c r="AM33" s="1006"/>
      <c r="AN33" s="1006">
        <f>IF(ISNUMBER(STDEV(AN8:AN30)),STDEV(AN8:AN30),"-")</f>
        <v>0</v>
      </c>
      <c r="AO33" s="1012">
        <f>IF(ISNUMBER(STDEV(AO8:AO30)),STDEV(AO8:AO30),"-")</f>
        <v>0</v>
      </c>
      <c r="AP33" s="1065">
        <f>IF(ISNUMBER(STDEV(AP8:AP30)),STDEV(AP8:AP30),"-")</f>
        <v>3.8146833527054467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VfWVnCPGgjyFclTC+oEUyDIFW0r5BnC5KvZ6pQBCRszsV3I5WwjBhQVcS33Dd2jUIpXLbuZTL76F1jaate0wTg==" saltValue="sSmsR153MY9rwufmJlLx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SANT FELIU DE GUIXOLS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6KI5LJSUkLaNLPebvdeRQJIJ37dJKJOEDIOFOXOVjTQX6AiulTRLlJfZs9VnjQhHhyPdfPtDzTl+Ppudnum2ww==" saltValue="Ud7W/8TYsotLkDWBAWAT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SANT FELIU DE GUIXOLS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4</v>
      </c>
      <c r="G10" s="452">
        <f>IF(ISNUMBER(F10/B10),F10/B10," - ")</f>
        <v>4</v>
      </c>
      <c r="H10" s="451">
        <f>IF(ISNUMBER(Datos!O10),Datos!O10," - ")</f>
        <v>14</v>
      </c>
      <c r="I10" s="452">
        <f t="shared" ref="I10:I13" si="2">IF(ISNUMBER(H10/B10),H10/B10," - ")</f>
        <v>14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586</v>
      </c>
      <c r="E12" s="452">
        <f t="shared" si="0"/>
        <v>195.33333333333334</v>
      </c>
      <c r="F12" s="451">
        <f>IF(ISNUMBER(Datos!N12),Datos!N12," - ")</f>
        <v>1050</v>
      </c>
      <c r="G12" s="452">
        <f t="shared" si="1"/>
        <v>350</v>
      </c>
      <c r="H12" s="451">
        <f>IF(ISNUMBER(Datos!O12),Datos!O12," - ")</f>
        <v>1235</v>
      </c>
      <c r="I12" s="452">
        <f t="shared" si="2"/>
        <v>411.66666666666669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591</v>
      </c>
      <c r="E14" s="1147">
        <f t="shared" si="0"/>
        <v>147.75</v>
      </c>
      <c r="F14" s="1146">
        <f>SUBTOTAL(9,F9:F13)</f>
        <v>1054</v>
      </c>
      <c r="G14" s="1147">
        <f t="shared" si="1"/>
        <v>263.5</v>
      </c>
      <c r="H14" s="1146">
        <f>SUBTOTAL(9,H9:H13)</f>
        <v>1249</v>
      </c>
      <c r="I14" s="1147">
        <f>IF(ISNUMBER(H14/B14),H14/B14," - ")</f>
        <v>312.25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570</v>
      </c>
      <c r="E17" s="452">
        <f t="shared" si="3"/>
        <v>190</v>
      </c>
      <c r="F17" s="451">
        <f>IF(ISNUMBER(Datos!N17),Datos!N17," - ")</f>
        <v>1514</v>
      </c>
      <c r="G17" s="452">
        <f t="shared" si="4"/>
        <v>504.66666666666669</v>
      </c>
      <c r="H17" s="451">
        <f>IF(ISNUMBER(Datos!O17),Datos!O17," - ")</f>
        <v>65</v>
      </c>
      <c r="I17" s="452">
        <f t="shared" si="5"/>
        <v>21.666666666666668</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168</v>
      </c>
      <c r="G18" s="452">
        <f>IF(ISNUMBER(F18/B18),F18/B18," - ")</f>
        <v>168</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578</v>
      </c>
      <c r="E23" s="1147">
        <f t="shared" si="3"/>
        <v>144.5</v>
      </c>
      <c r="F23" s="1146">
        <f>SUBTOTAL(9,F16:F22)</f>
        <v>1682</v>
      </c>
      <c r="G23" s="1147">
        <f t="shared" si="4"/>
        <v>420.5</v>
      </c>
      <c r="H23" s="1146">
        <f>SUBTOTAL(9,H16:H22)</f>
        <v>67</v>
      </c>
      <c r="I23" s="1147">
        <f>IF(ISNUMBER(H23/B23),H23/B23," - ")</f>
        <v>16.75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1169</v>
      </c>
      <c r="E31" s="1085">
        <f>IF(ISNUMBER(D31/B31),D31/B31," - ")</f>
        <v>389.66666666666669</v>
      </c>
      <c r="F31" s="1084">
        <f>SUBTOTAL(9,F8:F30)</f>
        <v>2736</v>
      </c>
      <c r="G31" s="1085">
        <f>IF(ISNUMBER(F31/B31),F31/B31," - ")</f>
        <v>912</v>
      </c>
      <c r="H31" s="1084">
        <f>SUBTOTAL(9,H8:H30)</f>
        <v>1316</v>
      </c>
      <c r="I31" s="1085">
        <f>IF(ISNUMBER(H31/B31),H31/B31," - ")</f>
        <v>438.66666666666669</v>
      </c>
    </row>
    <row r="34" spans="1:1">
      <c r="A34" s="439" t="str">
        <f>Criterios!A4</f>
        <v>Fecha Informe: 14 abr. 2023</v>
      </c>
    </row>
    <row r="39" spans="1:1">
      <c r="A39" s="462"/>
    </row>
  </sheetData>
  <sheetProtection algorithmName="SHA-512" hashValue="8vHy/UOSxOrrOGSdqK5ggo0H284F3bwruA8Bge0v/C+bBT0JcYiezLovwnzODwdTEqI3m4tVBdh3xnZYmbHn9g==" saltValue="DX7Xz3W3cSLzsv5R0pJp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SANT FELIU DE GUIXOLS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9</v>
      </c>
      <c r="C10" s="489">
        <f>IF(ISNUMBER(Datos!Q10),Datos!Q10," - ")</f>
        <v>3</v>
      </c>
      <c r="D10" s="456">
        <f>IF(ISNUMBER(Datos!R10),Datos!R10," - ")</f>
        <v>21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590</v>
      </c>
      <c r="C12" s="489">
        <f>IF(ISNUMBER(Datos!Q12),Datos!Q12," - ")</f>
        <v>727</v>
      </c>
      <c r="D12" s="456">
        <f>IF(ISNUMBER(Datos!R12),Datos!R12," - ")</f>
        <v>2859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599</v>
      </c>
      <c r="C14" s="1150">
        <f>SUBTOTAL(9,C9:C13)</f>
        <v>730</v>
      </c>
      <c r="D14" s="1148">
        <f>SUBTOTAL(9,D9:D13)</f>
        <v>2880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84</v>
      </c>
      <c r="C17" s="489">
        <f>IF(ISNUMBER(Datos!Q17),Datos!Q17," - ")</f>
        <v>86</v>
      </c>
      <c r="D17" s="456">
        <f>IF(ISNUMBER(Datos!R17),Datos!R17," - ")</f>
        <v>94</v>
      </c>
    </row>
    <row r="18" spans="1:4">
      <c r="A18" s="450" t="str">
        <f>Datos!A18</f>
        <v>Jdos. Violencia contra la mujer</v>
      </c>
      <c r="B18" s="488">
        <f>IF(ISNUMBER(Datos!P18),Datos!P18," - ")</f>
        <v>0</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84</v>
      </c>
      <c r="C23" s="1150">
        <f>SUBTOTAL(9,C16:C22)</f>
        <v>88</v>
      </c>
      <c r="D23" s="1148">
        <f>SUBTOTAL(9,D16:D22)</f>
        <v>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683</v>
      </c>
      <c r="C31" s="1089">
        <f>SUBTOTAL(9,C8:C30)</f>
        <v>818</v>
      </c>
      <c r="D31" s="1090">
        <f>SUBTOTAL(9,D8:D30)</f>
        <v>2974</v>
      </c>
    </row>
    <row r="32" spans="1:4" ht="7.5" customHeight="1"/>
    <row r="33" spans="1:1" ht="6" customHeight="1"/>
    <row r="34" spans="1:1">
      <c r="A34" s="439" t="str">
        <f>Criterios!A4</f>
        <v>Fecha Informe: 14 abr. 2023</v>
      </c>
    </row>
    <row r="39" spans="1:1">
      <c r="A39" s="462"/>
    </row>
  </sheetData>
  <sheetProtection algorithmName="SHA-512" hashValue="j9cA8mucc5CQAazJ19+73JPxKRxgXmSClvR7FUTSoTEKRyq2rRb/L/FEJ9fycPnQti0DBFXxrnNmwYN5Xecp/w==" saltValue="QiWWgrBIZsEgbAZ1usmM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SANT FELIU DE GUIXOLS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6.6666666666666666E-2</v>
      </c>
      <c r="C10" s="515">
        <f>IF(ISNUMBER((Datos!J10-Datos!T10)/Datos!T10),(Datos!J10-Datos!T10)/Datos!T10," - ")</f>
        <v>-0.29032258064516131</v>
      </c>
      <c r="D10" s="515">
        <f>IF(ISNUMBER((Datos!K10-Datos!U10)/Datos!U10),(Datos!K10-Datos!U10)/Datos!U10," - ")</f>
        <v>-0.17241379310344829</v>
      </c>
      <c r="E10" s="515">
        <f>IF(ISNUMBER((Datos!L10-Datos!V10)/Datos!V10),(Datos!L10-Datos!V10)/Datos!V10," - ")</f>
        <v>-6.25E-2</v>
      </c>
      <c r="F10" s="515">
        <f>IF(ISNUMBER((Datos!M10-Datos!W10)/Datos!W10),(Datos!M10-Datos!W10)/Datos!W10," - ")</f>
        <v>-0.375</v>
      </c>
      <c r="G10" s="516">
        <f>IF(ISNUMBER((Datos!N10-Datos!X10)/Datos!X10),(Datos!N10-Datos!X10)/Datos!X10," - ")</f>
        <v>0</v>
      </c>
      <c r="H10" s="514">
        <f>IF(ISNUMBER(((NºAsuntos!G10/NºAsuntos!E10)-Datos!BD10)/Datos!BD10),((NºAsuntos!G10/NºAsuntos!E10)-Datos!BD10)/Datos!BD10," - ")</f>
        <v>0.16614420062695923</v>
      </c>
      <c r="I10" s="515">
        <f>IF(ISNUMBER(((NºAsuntos!I10/NºAsuntos!G10)-Datos!BE10)/Datos!BE10),((NºAsuntos!I10/NºAsuntos!G10)-Datos!BE10)/Datos!BE10," - ")</f>
        <v>0.13281250000000003</v>
      </c>
      <c r="J10" s="521">
        <f>IF(ISNUMBER((('Resol  Asuntos'!D10/NºAsuntos!G10)-Datos!BF10)/Datos!BF10),(('Resol  Asuntos'!D10/NºAsuntos!G10)-Datos!BF10)/Datos!BF10," - ")</f>
        <v>-0.24479166666666663</v>
      </c>
      <c r="K10" s="522">
        <f>IF(ISNUMBER((((NºAsuntos!C10+NºAsuntos!E10)/NºAsuntos!G10)-Datos!BG10)/Datos!BG10),(((NºAsuntos!C10+NºAsuntos!E10)/NºAsuntos!G10)-Datos!BG10)/Datos!BG10," - ")</f>
        <v>6.9672131147540992E-2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0.19449901768172889</v>
      </c>
      <c r="C12" s="515">
        <f>IF(ISNUMBER(
   IF(J_V="SI",(Datos!J12-Datos!T12)/Datos!T12,(Datos!J12+Datos!Z12-(Datos!T12+Datos!AH12))/(Datos!T12+Datos!AH12))
     ),IF(J_V="SI",(Datos!J12-Datos!T12)/Datos!T12,(Datos!J12+Datos!Z12-(Datos!T12+Datos!AH12))/(Datos!T12+Datos!AH12))," - ")</f>
        <v>9.9959530554431408E-2</v>
      </c>
      <c r="D12" s="515">
        <f>IF(ISNUMBER(
   IF(J_V="SI",(Datos!K12-Datos!U12)/Datos!U12,(Datos!K12+Datos!AA12-(Datos!U12+Datos!AI12))/(Datos!U12+Datos!AI12))
     ),IF(J_V="SI",(Datos!K12-Datos!U12)/Datos!U12,(Datos!K12+Datos!AA12-(Datos!U12+Datos!AI12))/(Datos!U12+Datos!AI12))," - ")</f>
        <v>0.16789328426862926</v>
      </c>
      <c r="E12" s="515">
        <f>IF(ISNUMBER(
   IF(J_V="SI",(Datos!L12-Datos!V12)/Datos!V12,(Datos!L12+Datos!AB12-(Datos!V12+Datos!AJ12))/(Datos!V12+Datos!AJ12))
     ),IF(J_V="SI",(Datos!L12-Datos!V12)/Datos!V12,(Datos!L12+Datos!AB12-(Datos!V12+Datos!AJ12))/(Datos!V12+Datos!AJ12))," - ")</f>
        <v>8.5526315789473686E-2</v>
      </c>
      <c r="F12" s="515">
        <f>IF(ISNUMBER((Datos!M12-Datos!W12)/Datos!W12),(Datos!M12-Datos!W12)/Datos!W12," - ")</f>
        <v>0.14007782101167315</v>
      </c>
      <c r="G12" s="516">
        <f>IF(ISNUMBER((Datos!N12-Datos!X12)/Datos!X12),(Datos!N12-Datos!X12)/Datos!X12," - ")</f>
        <v>0.37795275590551181</v>
      </c>
      <c r="H12" s="514">
        <f>IF(ISNUMBER(((NºAsuntos!G12/NºAsuntos!E12)-Datos!BD12)/Datos!BD12),((NºAsuntos!G12/NºAsuntos!E12)-Datos!BD12)/Datos!BD12," - ")</f>
        <v>6.1760230105880318E-2</v>
      </c>
      <c r="I12" s="515">
        <f>IF(ISNUMBER(((NºAsuntos!I12/NºAsuntos!G12)-Datos!BE12)/Datos!BE12),((NºAsuntos!I12/NºAsuntos!G12)-Datos!BE12)/Datos!BE12," - ")</f>
        <v>-7.0526108496921702E-2</v>
      </c>
      <c r="J12" s="521">
        <f>IF(ISNUMBER((('Resol  Asuntos'!D12/NºAsuntos!G12)-Datos!BF12)/Datos!BF12),(('Resol  Asuntos'!D12/NºAsuntos!G12)-Datos!BF12)/Datos!BF12," - ")</f>
        <v>-0.34152470799361972</v>
      </c>
      <c r="K12" s="522">
        <f>IF(ISNUMBER((((NºAsuntos!C12+NºAsuntos!E12)/NºAsuntos!G12)-Datos!BG12)/Datos!BG12),(((NºAsuntos!C12+NºAsuntos!E12)/NºAsuntos!G12)-Datos!BG12)/Datos!BG12," - ")</f>
        <v>-2.7250135504932493E-2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0.1920359666024406</v>
      </c>
      <c r="C14" s="1152">
        <f>IF(ISNUMBER(
   IF(J_V="SI",(Datos!J14-Datos!T14)/Datos!T14,(Datos!J14+Datos!Z14-(Datos!T14+Datos!AH14))/(Datos!T14+Datos!AH14))
     ),IF(J_V="SI",(Datos!J14-Datos!T14)/Datos!T14,(Datos!J14+Datos!Z14-(Datos!T14+Datos!AH14))/(Datos!T14+Datos!AH14))," - ")</f>
        <v>9.5123900879296563E-2</v>
      </c>
      <c r="D14" s="1152">
        <f>IF(ISNUMBER(
   IF(J_V="SI",(Datos!K14-Datos!U14)/Datos!U14,(Datos!K14+Datos!AA14-(Datos!U14+Datos!AI14))/(Datos!U14+Datos!AI14))
     ),IF(J_V="SI",(Datos!K14-Datos!U14)/Datos!U14,(Datos!K14+Datos!AA14-(Datos!U14+Datos!AI14))/(Datos!U14+Datos!AI14))," - ")</f>
        <v>0.1634135270086246</v>
      </c>
      <c r="E14" s="1152">
        <f>IF(ISNUMBER(
   IF(J_V="SI",(Datos!L14-Datos!V14)/Datos!V14,(Datos!L14+Datos!AB14-(Datos!V14+Datos!AJ14))/(Datos!V14+Datos!AJ14))
     ),IF(J_V="SI",(Datos!L14-Datos!V14)/Datos!V14,(Datos!L14+Datos!AB14-(Datos!V14+Datos!AJ14))/(Datos!V14+Datos!AJ14))," - ")</f>
        <v>8.2974137931034489E-2</v>
      </c>
      <c r="F14" s="1153">
        <f>IF(ISNUMBER((Datos!M14-Datos!W14)/Datos!W14),(Datos!M14-Datos!W14)/Datos!W14," - ")</f>
        <v>0.13218390804597702</v>
      </c>
      <c r="G14" s="1154">
        <f>IF(ISNUMBER((Datos!N14-Datos!X14)/Datos!X14),(Datos!N14-Datos!X14)/Datos!X14," - ")</f>
        <v>0.37597911227154046</v>
      </c>
      <c r="H14" s="1154">
        <f>IF(ISNUMBER(((NºAsuntos!G14/NºAsuntos!E14)-Datos!BD14)/Datos!BD14),((NºAsuntos!G14/NºAsuntos!E14)-Datos!BD14)/Datos!BD14," - ")</f>
        <v>6.2357899480138201E-2</v>
      </c>
      <c r="I14" s="1154">
        <f>IF(ISNUMBER(((NºAsuntos!I14/NºAsuntos!G14)-Datos!BE14)/Datos!BE14),((NºAsuntos!I14/NºAsuntos!G14)-Datos!BE14)/Datos!BE14," - ")</f>
        <v>-6.9140840475197543E-2</v>
      </c>
      <c r="J14" s="1154">
        <f>IF(ISNUMBER((('Resol  Asuntos'!D14/NºAsuntos!G14)-Datos!BF14)/Datos!BF14),(('Resol  Asuntos'!D14/NºAsuntos!G14)-Datos!BF14)/Datos!BF14," - ")</f>
        <v>-0.34027544831290446</v>
      </c>
      <c r="K14" s="1154">
        <f>IF(ISNUMBER((((NºAsuntos!C14+NºAsuntos!E14)/NºAsuntos!G14)-Datos!BG14)/Datos!BG14),(((NºAsuntos!C14+NºAsuntos!E14)/NºAsuntos!G14)-Datos!BG14)/Datos!BG14," - ")</f>
        <v>-2.6744515662799295E-2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7.9155672823219003E-3</v>
      </c>
      <c r="C17" s="515">
        <f>IF(ISNUMBER(
   IF(D_I="SI",(Datos!J17-Datos!T17)/Datos!T17,(Datos!J17+Datos!AD17-(Datos!T17+Datos!AL17))/(Datos!T17+Datos!AL17))
     ),IF(D_I="SI",(Datos!J17-Datos!T17)/Datos!T17,(Datos!J17+Datos!AD17-(Datos!T17+Datos!AL17))/(Datos!T17+Datos!AL17))," - ")</f>
        <v>9.295120061967467E-2</v>
      </c>
      <c r="D17" s="515">
        <f>IF(ISNUMBER(
   IF(D_I="SI",(Datos!K17-Datos!U17)/Datos!U17,(Datos!K17+Datos!AE17-(Datos!U17+Datos!AM17))/(Datos!U17+Datos!AM17))
     ),IF(D_I="SI",(Datos!K17-Datos!U17)/Datos!U17,(Datos!K17+Datos!AE17-(Datos!U17+Datos!AM17))/(Datos!U17+Datos!AM17))," - ")</f>
        <v>-7.6745970836531079E-3</v>
      </c>
      <c r="E17" s="515">
        <f>IF(ISNUMBER(
   IF(D_I="SI",(Datos!L17-Datos!V17)/Datos!V17,(Datos!L17+Datos!AF17-(Datos!V17+Datos!AN17))/(Datos!V17+Datos!AN17))
     ),IF(D_I="SI",(Datos!L17-Datos!V17)/Datos!V17,(Datos!L17+Datos!AF17-(Datos!V17+Datos!AN17))/(Datos!V17+Datos!AN17))," - ")</f>
        <v>0.44109947643979058</v>
      </c>
      <c r="F17" s="515">
        <f>IF(ISNUMBER((Datos!M17-Datos!W17)/Datos!W17),(Datos!M17-Datos!W17)/Datos!W17," - ")</f>
        <v>0.14688128772635814</v>
      </c>
      <c r="G17" s="516">
        <f>IF(ISNUMBER((Datos!N17-Datos!X17)/Datos!X17),(Datos!N17-Datos!X17)/Datos!X17," - ")</f>
        <v>0.12565055762081784</v>
      </c>
      <c r="H17" s="514">
        <f>IF(ISNUMBER(((NºAsuntos!G17/NºAsuntos!E17)-Datos!BD17)/Datos!BD17),((NºAsuntos!G17/NºAsuntos!E17)-Datos!BD17)/Datos!BD17," - ")</f>
        <v>-9.2067969408218472E-2</v>
      </c>
      <c r="I17" s="515">
        <f>IF(ISNUMBER(((NºAsuntos!I17/NºAsuntos!G17)-Datos!BE17)/Datos!BE17),((NºAsuntos!I17/NºAsuntos!G17)-Datos!BE17)/Datos!BE17," - ")</f>
        <v>0.4522448706891315</v>
      </c>
      <c r="J17" s="521">
        <f>IF(ISNUMBER((('Resol  Asuntos'!D17/NºAsuntos!G17)-Datos!BF17)/Datos!BF17),(('Resol  Asuntos'!D17/NºAsuntos!G17)-Datos!BF17)/Datos!BF17," - ")</f>
        <v>0.15575121261209954</v>
      </c>
      <c r="K17" s="522">
        <f>IF(ISNUMBER((((NºAsuntos!C17+NºAsuntos!E17)/NºAsuntos!G17)-Datos!BG17)/Datos!BG17),(((NºAsuntos!C17+NºAsuntos!E17)/NºAsuntos!G17)-Datos!BG17)/Datos!BG17," - ")</f>
        <v>8.1956273068711866E-2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-0.21276595744680851</v>
      </c>
      <c r="C18" s="515">
        <f>IF(ISNUMBER(
   IF(D_I="SI",(Datos!J18-Datos!T18)/Datos!T18,(Datos!J18+Datos!AD18-(Datos!T18+Datos!AL18))/(Datos!T18+Datos!AL18))
     ),IF(D_I="SI",(Datos!J18-Datos!T18)/Datos!T18,(Datos!J18+Datos!AD18-(Datos!T18+Datos!AL18))/(Datos!T18+Datos!AL18))," - ")</f>
        <v>0.1541501976284585</v>
      </c>
      <c r="D18" s="515">
        <f>IF(ISNUMBER(
   IF(D_I="SI",(Datos!K18-Datos!U18)/Datos!U18,(Datos!K18+Datos!AE18-(Datos!U18+Datos!AM18))/(Datos!U18+Datos!AM18))
     ),IF(D_I="SI",(Datos!K18-Datos!U18)/Datos!U18,(Datos!K18+Datos!AE18-(Datos!U18+Datos!AM18))/(Datos!U18+Datos!AM18))," - ")</f>
        <v>4.5112781954887216E-2</v>
      </c>
      <c r="E18" s="515">
        <f>IF(ISNUMBER(
   IF(D_I="SI",(Datos!L18-Datos!V18)/Datos!V18,(Datos!L18+Datos!AF18-(Datos!V18+Datos!AN18))/(Datos!V18+Datos!AN18))
     ),IF(D_I="SI",(Datos!L18-Datos!V18)/Datos!V18,(Datos!L18+Datos!AF18-(Datos!V18+Datos!AN18))/(Datos!V18+Datos!AN18))," - ")</f>
        <v>0.3783783783783784</v>
      </c>
      <c r="F18" s="515">
        <f>IF(ISNUMBER((Datos!M18-Datos!W18)/Datos!W18),(Datos!M18-Datos!W18)/Datos!W18," - ")</f>
        <v>-0.27272727272727271</v>
      </c>
      <c r="G18" s="516">
        <f>IF(ISNUMBER((Datos!N18-Datos!X18)/Datos!X18),(Datos!N18-Datos!X18)/Datos!X18," - ")</f>
        <v>0.2537313432835821</v>
      </c>
      <c r="H18" s="514">
        <f>IF(ISNUMBER(((NºAsuntos!G18/NºAsuntos!E18)-Datos!BD18)/Datos!BD18),((NºAsuntos!G18/NºAsuntos!E18)-Datos!BD18)/Datos!BD18," - ")</f>
        <v>-9.4474199196621603E-2</v>
      </c>
      <c r="I18" s="515">
        <f>IF(ISNUMBER(((NºAsuntos!I18/NºAsuntos!G18)-Datos!BE18)/Datos!BE18),((NºAsuntos!I18/NºAsuntos!G18)-Datos!BE18)/Datos!BE18," - ")</f>
        <v>0.31888003111024699</v>
      </c>
      <c r="J18" s="521">
        <f>IF(ISNUMBER((('Resol  Asuntos'!D18/NºAsuntos!G18)-Datos!BF18)/Datos!BF18),(('Resol  Asuntos'!D18/NºAsuntos!G18)-Datos!BF18)/Datos!BF18," - ")</f>
        <v>-0.30412034009156302</v>
      </c>
      <c r="K18" s="522">
        <f>IF(ISNUMBER((((NºAsuntos!C18+NºAsuntos!E18)/NºAsuntos!G18)-Datos!BG18)/Datos!BG18),(((NºAsuntos!C18+NºAsuntos!E18)/NºAsuntos!G18)-Datos!BG18)/Datos!BG18," - ")</f>
        <v>4.9328537170263718E-2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-4.9689440993788822E-3</v>
      </c>
      <c r="C23" s="1152">
        <f>IF(ISNUMBER(
   IF(Criterios!B14="SI",(Datos!J23-Datos!T23)/Datos!T23,(Datos!J23+Datos!AD23-(Datos!T23+Datos!AL23))/(Datos!T23+Datos!AL23))
     ),IF(Criterios!B14="SI",(Datos!J23-Datos!T23)/Datos!T23,(Datos!J23+Datos!AD23-(Datos!T23+Datos!AL23))/(Datos!T23+Datos!AL23))," - ")</f>
        <v>9.841269841269841E-2</v>
      </c>
      <c r="D23" s="1152">
        <f>IF(ISNUMBER(
   IF(Criterios!B14="SI",(Datos!K23-Datos!U23)/Datos!U23,(Datos!K23+Datos!AE23-(Datos!U23+Datos!AM23))/(Datos!U23+Datos!AM23))
     ),IF(Criterios!B14="SI",(Datos!K23-Datos!U23)/Datos!U23,(Datos!K23+Datos!AE23-(Datos!U23+Datos!AM23))/(Datos!U23+Datos!AM23))," - ")</f>
        <v>-2.7855153203342618E-3</v>
      </c>
      <c r="E23" s="1152">
        <f>IF(ISNUMBER(
   IF(Criterios!B14="SI",(Datos!L23-Datos!V23)/Datos!V23,(Datos!L23+Datos!AF23-(Datos!V23+Datos!AN23))/(Datos!V23+Datos!AN23))
     ),IF(Criterios!B14="SI",(Datos!L23-Datos!V23)/Datos!V23,(Datos!L23+Datos!AF23-(Datos!V23+Datos!AN23))/(Datos!V23+Datos!AN23))," - ")</f>
        <v>0.43820224719101125</v>
      </c>
      <c r="F23" s="1153">
        <f>IF(ISNUMBER((Datos!M23-Datos!W23)/Datos!W23),(Datos!M23-Datos!W23)/Datos!W23," - ")</f>
        <v>0.13779527559055119</v>
      </c>
      <c r="G23" s="1154">
        <f>IF(ISNUMBER((Datos!N23-Datos!X23)/Datos!X23),(Datos!N23-Datos!X23)/Datos!X23," - ")</f>
        <v>0.13725490196078433</v>
      </c>
      <c r="H23" s="1154">
        <f>IF(ISNUMBER(((NºAsuntos!G23/NºAsuntos!E23)-Datos!BD23)/Datos!BD23),((NºAsuntos!G23/NºAsuntos!E23)-Datos!BD23)/Datos!BD23," - ")</f>
        <v>-9.2131321751171419E-2</v>
      </c>
      <c r="I23" s="1154">
        <f>IF(ISNUMBER(((NºAsuntos!I23/NºAsuntos!G23)-Datos!BE23)/Datos!BE23),((NºAsuntos!I23/NºAsuntos!G23)-Datos!BE23)/Datos!BE23," - ")</f>
        <v>0.44221957190383532</v>
      </c>
      <c r="J23" s="1154">
        <f>IF(ISNUMBER((('Resol  Asuntos'!D23/NºAsuntos!G23)-Datos!BF23)/Datos!BF23),(('Resol  Asuntos'!D23/NºAsuntos!G23)-Datos!BF23)/Datos!BF23," - ")</f>
        <v>0.14097347468437951</v>
      </c>
      <c r="K23" s="1154">
        <f>IF(ISNUMBER((((NºAsuntos!C23+NºAsuntos!E23)/NºAsuntos!G23)-Datos!BG23)/Datos!BG23),(((NºAsuntos!C23+NºAsuntos!E23)/NºAsuntos!G23)-Datos!BG23)/Datos!BG23," - ")</f>
        <v>7.8553778623611098E-2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0.12489415749364945</v>
      </c>
      <c r="C31" s="1092">
        <f>IF(ISNUMBER(
   IF(J_V="SI",(Datos!J31-Datos!T31)/Datos!T31,(Datos!J31+Datos!Z31-(Datos!T31+Datos!AH31))/(Datos!T31+Datos!AH31))
     ),IF(J_V="SI",(Datos!J31-Datos!T31)/Datos!T31,(Datos!J31+Datos!Z31-(Datos!T31+Datos!AH31))/(Datos!T31+Datos!AH31))," - ")</f>
        <v>9.6870901255386915E-2</v>
      </c>
      <c r="D31" s="1092">
        <f>IF(ISNUMBER(
   IF(J_V="SI",(Datos!K31-Datos!U31)/Datos!U31,(Datos!K31+Datos!AA31-(Datos!U31+Datos!AI31))/(Datos!U31+Datos!AI31))
     ),IF(J_V="SI",(Datos!K31-Datos!U31)/Datos!U31,(Datos!K31+Datos!AA31-(Datos!U31+Datos!AI31))/(Datos!U31+Datos!AI31))," - ")</f>
        <v>6.9359605911330044E-2</v>
      </c>
      <c r="E31" s="1092">
        <f>IF(ISNUMBER(
   IF(J_V="SI",(Datos!L31-Datos!V31)/Datos!V31,(Datos!L31+Datos!AB31-(Datos!V31+Datos!AJ31))/(Datos!V31+Datos!AJ31))
     ),IF(J_V="SI",(Datos!L31-Datos!V31)/Datos!V31,(Datos!L31+Datos!AB31-(Datos!V31+Datos!AJ31))/(Datos!V31+Datos!AJ31))," - ")</f>
        <v>0.1900639819345126</v>
      </c>
      <c r="F31" s="1093">
        <f>IF(ISNUMBER((Datos!M31-Datos!W31)/Datos!W31),(Datos!M31-Datos!W31)/Datos!W31," - ")</f>
        <v>0.13495145631067962</v>
      </c>
      <c r="G31" s="1094">
        <f>IF(ISNUMBER((Datos!N31-Datos!X31)/Datos!X31),(Datos!N31-Datos!X31)/Datos!X31," - ")</f>
        <v>0.21870824053452115</v>
      </c>
      <c r="H31" s="1095">
        <f>IF(ISNUMBER((Tasas!B31-Datos!BD31)/Datos!BD31),(Tasas!B31-Datos!BD31)/Datos!BD31," - ")</f>
        <v>-2.5081616544453653E-2</v>
      </c>
      <c r="I31" s="1096">
        <f>IF(ISNUMBER((Tasas!C31-Datos!BE31)/Datos!BE31),(Tasas!C31-Datos!BE31)/Datos!BE31," - ")</f>
        <v>0.11287538388016437</v>
      </c>
      <c r="J31" s="1097">
        <f>IF(ISNUMBER((Tasas!D31-Datos!BF31)/Datos!BF31),(Tasas!D31-Datos!BF31)/Datos!BF31," - ")</f>
        <v>-0.14461844259257819</v>
      </c>
      <c r="K31" s="1097">
        <f>IF(ISNUMBER((Tasas!E31-Datos!BG31)/Datos!BG31),(Tasas!E31-Datos!BG31)/Datos!BG31," - ")</f>
        <v>3.3766598736269172E-2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ek4pXg3pJWPqI6VXbFClE1c4vQk5fZcE0gUX5c2rWSnvjVp2E3R0ujIQzrfxZZWbOewMpEVqw2Agasru2j48g==" saltValue="JLw2krMJ487Gk3NPNAXk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SANT FELIU DE GUIXOLS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1.0909090909090908</v>
      </c>
      <c r="C10" s="498">
        <f>IF(ISNUMBER(NºAsuntos!I10/NºAsuntos!G10),NºAsuntos!I10/NºAsuntos!G10," - ")</f>
        <v>1.25</v>
      </c>
      <c r="D10" s="499">
        <f>IF(ISNUMBER('Resol  Asuntos'!D10/NºAsuntos!G10),'Resol  Asuntos'!D10/NºAsuntos!G10," - ")</f>
        <v>0.20833333333333334</v>
      </c>
      <c r="E10" s="500">
        <f>IF(ISNUMBER((NºAsuntos!C10+NºAsuntos!E10)/NºAsuntos!G10),(NºAsuntos!C10+NºAsuntos!E10)/NºAsuntos!G10," - ")</f>
        <v>2.25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0.93414275202354669</v>
      </c>
      <c r="C12" s="498">
        <f>IF(ISNUMBER(NºAsuntos!I12/NºAsuntos!G12),NºAsuntos!I12/NºAsuntos!G12," - ")</f>
        <v>0.77983458054352106</v>
      </c>
      <c r="D12" s="499">
        <f>IF(ISNUMBER('Resol  Asuntos'!D12/NºAsuntos!G12),'Resol  Asuntos'!D12/NºAsuntos!G12," - ")</f>
        <v>0.23079952737298148</v>
      </c>
      <c r="E12" s="500">
        <f>IF(ISNUMBER((NºAsuntos!C12+NºAsuntos!E12)/NºAsuntos!G12),(NºAsuntos!C12+NºAsuntos!E12)/NºAsuntos!G12," - ")</f>
        <v>1.7888932650649862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0.93540145985401457</v>
      </c>
      <c r="C14" s="1156">
        <f>IF(ISNUMBER(NºAsuntos!I14/NºAsuntos!G14),NºAsuntos!I14/NºAsuntos!G14," - ")</f>
        <v>0.78423722200546231</v>
      </c>
      <c r="D14" s="1157">
        <f>IF(ISNUMBER('Resol  Asuntos'!D14/NºAsuntos!G14),'Resol  Asuntos'!D14/NºAsuntos!G14," - ")</f>
        <v>0.23058915333593444</v>
      </c>
      <c r="E14" s="1158">
        <f>IF(ISNUMBER((NºAsuntos!C14+NºAsuntos!E14)/NºAsuntos!G14),(NºAsuntos!C14+NºAsuntos!E14)/NºAsuntos!G14," - ")</f>
        <v>1.7932110807647288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0.91637136782423811</v>
      </c>
      <c r="C17" s="498">
        <f>IF(ISNUMBER(NºAsuntos!I17/NºAsuntos!G17),NºAsuntos!I17/NºAsuntos!G17," - ")</f>
        <v>0.42575406032482599</v>
      </c>
      <c r="D17" s="499">
        <f>IF(ISNUMBER('Resol  Asuntos'!D17/NºAsuntos!G17),'Resol  Asuntos'!D17/NºAsuntos!G17," - ")</f>
        <v>0.22041763341067286</v>
      </c>
      <c r="E17" s="500">
        <f>IF(ISNUMBER((NºAsuntos!C17+NºAsuntos!E17)/NºAsuntos!G17),(NºAsuntos!C17+NºAsuntos!E17)/NºAsuntos!G17," - ")</f>
        <v>1.3866976024748647</v>
      </c>
      <c r="G17" s="523"/>
    </row>
    <row r="18" spans="1:7">
      <c r="A18" s="450" t="str">
        <f>Datos!A18</f>
        <v>Jdos. Violencia contra la mujer</v>
      </c>
      <c r="B18" s="497">
        <f>IF(ISNUMBER(NºAsuntos!G18/NºAsuntos!E18),NºAsuntos!G18/NºAsuntos!E18," - ")</f>
        <v>0.95205479452054798</v>
      </c>
      <c r="C18" s="498">
        <f>IF(ISNUMBER(NºAsuntos!I18/NºAsuntos!G18),NºAsuntos!I18/NºAsuntos!G18," - ")</f>
        <v>0.18345323741007194</v>
      </c>
      <c r="D18" s="499">
        <f>IF(ISNUMBER('Resol  Asuntos'!D18/NºAsuntos!G18),'Resol  Asuntos'!D18/NºAsuntos!G18," - ")</f>
        <v>2.8776978417266189E-2</v>
      </c>
      <c r="E18" s="500">
        <f>IF(ISNUMBER((NºAsuntos!C18+NºAsuntos!E18)/NºAsuntos!G18),(NºAsuntos!C18+NºAsuntos!E18)/NºAsuntos!G18," - ")</f>
        <v>1.1834532374100719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0.91971740526653822</v>
      </c>
      <c r="C23" s="1156">
        <f>IF(ISNUMBER(NºAsuntos!I23/NºAsuntos!G23),NºAsuntos!I23/NºAsuntos!G23," - ")</f>
        <v>0.4022346368715084</v>
      </c>
      <c r="D23" s="1159">
        <f>IF(ISNUMBER('Resol  Asuntos'!D23/NºAsuntos!G23),'Resol  Asuntos'!D23/NºAsuntos!G23," - ")</f>
        <v>0.20181564245810055</v>
      </c>
      <c r="E23" s="1158">
        <f>IF(ISNUMBER((NºAsuntos!C23+NºAsuntos!E23)/NºAsuntos!G23),(NºAsuntos!C23+NºAsuntos!E23)/NºAsuntos!G23," - ")</f>
        <v>1.3669692737430168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0.92705842159207374</v>
      </c>
      <c r="C31" s="1099">
        <f>IF(ISNUMBER(NºAsuntos!I31/NºAsuntos!G31),NºAsuntos!I31/NºAsuntos!G31," - ")</f>
        <v>0.5826423438363737</v>
      </c>
      <c r="D31" s="1100">
        <f>IF(ISNUMBER('Resol  Asuntos'!D31/NºAsuntos!G31),'Resol  Asuntos'!D31/NºAsuntos!G31," - ")</f>
        <v>0.2154044591855537</v>
      </c>
      <c r="E31" s="1101">
        <f>IF(ISNUMBER((NºAsuntos!C31+NºAsuntos!E31)/NºAsuntos!G31),(NºAsuntos!C31+NºAsuntos!E31)/NºAsuntos!G31," - ")</f>
        <v>1.5682697622996131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THFeGuP0N841euKQrK6vHkdzVX/vWOB6NgSLlwbDd2WFRK2h44YgV6S614tHUbqRM64wKOm/9XstS5YoKrx4w==" saltValue="IRO1MvN52mqQHglJMrbV5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SANT FELIU DE GUIXOLS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32</v>
      </c>
      <c r="G10" s="373">
        <f>IF(ISNUMBER(Datos!I10),Datos!I10," - ")</f>
        <v>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3</v>
      </c>
      <c r="Y10" s="374">
        <f t="shared" ref="Y10:Y13" si="0">SUM(W10:X10)</f>
        <v>27</v>
      </c>
      <c r="Z10" s="375" t="str">
        <f>IF(ISNUMBER(Datos!CC10),Datos!CC10," - ")</f>
        <v xml:space="preserve"> - </v>
      </c>
      <c r="AA10" s="372">
        <f>IF(ISNUMBER(Datos!L10),Datos!L10,"-")</f>
        <v>30</v>
      </c>
      <c r="AB10" s="374">
        <f>IF(ISNUMBER(Datos!R10),Datos!R10," - ")</f>
        <v>21</v>
      </c>
      <c r="AC10" s="374">
        <f t="shared" ref="AC10:AC13" si="1">IF(ISNUMBER(AA10+AB10),AA10+AB10," - ")</f>
        <v>51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1.0909090909090908</v>
      </c>
      <c r="AM10" s="284">
        <f>IF(ISNUMBER(((NºAsuntos!I10/NºAsuntos!G10)*11)/factor_trimestre),((NºAsuntos!I10/NºAsuntos!G10)*11)/factor_trimestre," - ")</f>
        <v>13.75</v>
      </c>
      <c r="AN10" s="267">
        <f>IF(ISNUMBER('Resol  Asuntos'!D10/NºAsuntos!G10),'Resol  Asuntos'!D10/NºAsuntos!G10," - ")</f>
        <v>0.20833333333333334</v>
      </c>
      <c r="AO10" s="268">
        <f>IF(ISNUMBER((NºAsuntos!C10+NºAsuntos!E10)/NºAsuntos!G10),(NºAsuntos!C10+NºAsuntos!E10)/NºAsuntos!G10," - ")</f>
        <v>2.25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590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727</v>
      </c>
      <c r="Y12" s="374">
        <f t="shared" si="0"/>
        <v>727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2859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586</v>
      </c>
      <c r="AJ12" s="243" t="str">
        <f>IF(ISNUMBER(Datos!BW12),Datos!BW12," - ")</f>
        <v xml:space="preserve"> - </v>
      </c>
      <c r="AK12" s="242" t="str">
        <f>IF(ISNUMBER(Datos!BX12),Datos!BX12," - ")</f>
        <v xml:space="preserve"> - </v>
      </c>
      <c r="AL12" s="266">
        <f>IF(ISNUMBER(NºAsuntos!G12/NºAsuntos!E12),NºAsuntos!G12/NºAsuntos!E12," - ")</f>
        <v>0.93414275202354669</v>
      </c>
      <c r="AM12" s="284">
        <f>IF(ISNUMBER(((NºAsuntos!I12/NºAsuntos!G12)*11)/factor_trimestre),((NºAsuntos!I12/NºAsuntos!G12)*11)/factor_trimestre," - ")</f>
        <v>8.5781803859787313</v>
      </c>
      <c r="AN12" s="267">
        <f>IF(ISNUMBER('Resol  Asuntos'!D12/NºAsuntos!G12),'Resol  Asuntos'!D12/NºAsuntos!G12," - ")</f>
        <v>0.23079952737298148</v>
      </c>
      <c r="AO12" s="268">
        <f>IF(ISNUMBER((NºAsuntos!C12+NºAsuntos!E12)/NºAsuntos!G12),(NºAsuntos!C12+NºAsuntos!E12)/NºAsuntos!G12," - ")</f>
        <v>1.7888932650649862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32</v>
      </c>
      <c r="G14" s="1163">
        <f t="shared" si="5"/>
        <v>32</v>
      </c>
      <c r="H14" s="1162">
        <f t="shared" si="5"/>
        <v>0</v>
      </c>
      <c r="I14" s="1164">
        <f t="shared" si="5"/>
        <v>0</v>
      </c>
      <c r="J14" s="1164">
        <f t="shared" si="5"/>
        <v>0</v>
      </c>
      <c r="K14" s="1164">
        <f t="shared" si="5"/>
        <v>0</v>
      </c>
      <c r="L14" s="1164">
        <f t="shared" si="5"/>
        <v>599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730</v>
      </c>
      <c r="Y14" s="1165">
        <f t="shared" si="6"/>
        <v>754</v>
      </c>
      <c r="Z14" s="1165">
        <f t="shared" si="6"/>
        <v>0</v>
      </c>
      <c r="AA14" s="1165">
        <f t="shared" si="6"/>
        <v>30</v>
      </c>
      <c r="AB14" s="1165">
        <f t="shared" si="6"/>
        <v>2880</v>
      </c>
      <c r="AC14" s="1165">
        <f t="shared" si="6"/>
        <v>51</v>
      </c>
      <c r="AD14" s="1165">
        <f t="shared" si="6"/>
        <v>0</v>
      </c>
      <c r="AE14" s="1169">
        <f t="shared" si="6"/>
        <v>0</v>
      </c>
      <c r="AF14" s="1162">
        <f t="shared" si="6"/>
        <v>0</v>
      </c>
      <c r="AG14" s="1170">
        <f t="shared" si="6"/>
        <v>0</v>
      </c>
      <c r="AH14" s="1167">
        <f t="shared" si="6"/>
        <v>0</v>
      </c>
      <c r="AI14" s="1162">
        <f t="shared" si="6"/>
        <v>591</v>
      </c>
      <c r="AJ14" s="1164">
        <f t="shared" si="6"/>
        <v>0</v>
      </c>
      <c r="AK14" s="1167">
        <f>SUBTOTAL(9,AK9:AK13)</f>
        <v>0</v>
      </c>
      <c r="AL14" s="1171">
        <f>IF(ISNUMBER(NºAsuntos!G14/NºAsuntos!E14),NºAsuntos!G14/NºAsuntos!E14," - ")</f>
        <v>0.93540145985401457</v>
      </c>
      <c r="AM14" s="1171">
        <f>IF(ISNUMBER(((NºAsuntos!I14/NºAsuntos!G14)*11)/factor_trimestre),((NºAsuntos!I14/NºAsuntos!G14)*11)/factor_trimestre," - ")</f>
        <v>8.6266094420600847</v>
      </c>
      <c r="AN14" s="1172">
        <f>IF(ISNUMBER('Resol  Asuntos'!D14/NºAsuntos!G14),'Resol  Asuntos'!D14/NºAsuntos!G14," - ")</f>
        <v>0.23058915333593444</v>
      </c>
      <c r="AO14" s="1173">
        <f>IF(ISNUMBER((NºAsuntos!C14+NºAsuntos!E14)/NºAsuntos!G14),(NºAsuntos!C14+NºAsuntos!E14)/NºAsuntos!G14," - ")</f>
        <v>1.7932110807647288</v>
      </c>
      <c r="AP14" s="1174" t="str">
        <f t="shared" si="2"/>
        <v xml:space="preserve"> - </v>
      </c>
      <c r="AQ14" s="1174">
        <f>IF(ISNUMBER((H14-W14+K14)/(F14)),(H14-W14+K14)/(F14)," - ")</f>
        <v>-0.75</v>
      </c>
      <c r="AR14" s="1175">
        <f>IF(ISNUMBER((Datos!P14-Datos!Q14)/(Datos!R14-Datos!P14+Datos!Q14)),(Datos!P14-Datos!Q14)/(Datos!R14-Datos!P14+Datos!Q14)," - ")</f>
        <v>-4.350714048488874E-2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865</v>
      </c>
      <c r="G17" s="373">
        <f>IF(ISNUMBER(IF(D_I="SI",Datos!I17,Datos!I17+Datos!AC17)),IF(D_I="SI",Datos!I17,Datos!I17+Datos!AC17)," - ")</f>
        <v>764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2586</v>
      </c>
      <c r="X17" s="240">
        <f>IF(ISNUMBER(Datos!Q17),Datos!Q17," - ")</f>
        <v>86</v>
      </c>
      <c r="Y17" s="374">
        <f t="shared" ref="Y17:Y22" si="9">SUM(W17:X17)</f>
        <v>2672</v>
      </c>
      <c r="Z17" s="375" t="str">
        <f>IF(ISNUMBER(Datos!CC17),Datos!CC17," - ")</f>
        <v xml:space="preserve"> - </v>
      </c>
      <c r="AA17" s="372">
        <f>IF(ISNUMBER(IF(D_I="SI",Datos!L17,Datos!L17+Datos!AF17)),IF(D_I="SI",Datos!L17,Datos!L17+Datos!AF17)," - ")</f>
        <v>1101</v>
      </c>
      <c r="AB17" s="374">
        <f>IF(ISNUMBER(Datos!R17),Datos!R17," - ")</f>
        <v>94</v>
      </c>
      <c r="AC17" s="374">
        <f t="shared" si="8"/>
        <v>1195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570</v>
      </c>
      <c r="AJ17" s="245" t="str">
        <f>IF(ISNUMBER(Datos!BW17),Datos!BW17," - ")</f>
        <v xml:space="preserve"> - </v>
      </c>
      <c r="AK17" s="246" t="str">
        <f>IF(ISNUMBER(Datos!BX17),Datos!BX17," - ")</f>
        <v xml:space="preserve"> - </v>
      </c>
      <c r="AL17" s="266">
        <f>IF(ISNUMBER(NºAsuntos!G17/NºAsuntos!E17),NºAsuntos!G17/NºAsuntos!E17," - ")</f>
        <v>0.91637136782423811</v>
      </c>
      <c r="AM17" s="284">
        <f>IF(ISNUMBER(((NºAsuntos!I17/NºAsuntos!G17)*11)/factor_trimestre),((NºAsuntos!I17/NºAsuntos!G17)*11)/factor_trimestre," - ")</f>
        <v>4.6832946635730863</v>
      </c>
      <c r="AN17" s="267">
        <f>IF(ISNUMBER('Resol  Asuntos'!D17/NºAsuntos!G17),'Resol  Asuntos'!D17/NºAsuntos!G17," - ")</f>
        <v>0.22041763341067286</v>
      </c>
      <c r="AO17" s="268">
        <f>IF(ISNUMBER((NºAsuntos!C17+NºAsuntos!E17)/NºAsuntos!G17),(NºAsuntos!C17+NºAsuntos!E17)/NºAsuntos!G17," - ")</f>
        <v>1.3866976024748647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278</v>
      </c>
      <c r="X18" s="240">
        <f>IF(ISNUMBER(Datos!Q18),Datos!Q18," - ")</f>
        <v>2</v>
      </c>
      <c r="Y18" s="374">
        <f t="shared" si="9"/>
        <v>280</v>
      </c>
      <c r="Z18" s="375" t="str">
        <f>IF(ISNUMBER(Datos!CC18),Datos!CC18," - ")</f>
        <v xml:space="preserve"> - </v>
      </c>
      <c r="AA18" s="372">
        <f>IF(ISNUMBER(Datos!L18),Datos!L18,"-")</f>
        <v>51</v>
      </c>
      <c r="AB18" s="374">
        <f>IF(ISNUMBER(Datos!R18),Datos!R18," - ")</f>
        <v>0</v>
      </c>
      <c r="AC18" s="374">
        <f t="shared" si="8"/>
        <v>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0.95205479452054798</v>
      </c>
      <c r="AM18" s="284">
        <f>IF(ISNUMBER(((NºAsuntos!I18/NºAsuntos!G18)*11)/factor_trimestre),((NºAsuntos!I18/NºAsuntos!G18)*11)/factor_trimestre," - ")</f>
        <v>2.0179856115107913</v>
      </c>
      <c r="AN18" s="267">
        <f>IF(ISNUMBER('Resol  Asuntos'!D18/NºAsuntos!G18),'Resol  Asuntos'!D18/NºAsuntos!G18," - ")</f>
        <v>2.8776978417266189E-2</v>
      </c>
      <c r="AO18" s="268">
        <f>IF(ISNUMBER((NºAsuntos!C18+NºAsuntos!E18)/NºAsuntos!G18),(NºAsuntos!C18+NºAsuntos!E18)/NºAsuntos!G18," - ")</f>
        <v>1.1834532374100719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865</v>
      </c>
      <c r="G23" s="1163">
        <f>SUBTOTAL(9,G16:G22)</f>
        <v>801</v>
      </c>
      <c r="H23" s="1162">
        <f t="shared" ref="H23:O23" si="13">SUBTOTAL(9,H15:H22)</f>
        <v>0</v>
      </c>
      <c r="I23" s="1164">
        <f t="shared" si="13"/>
        <v>0</v>
      </c>
      <c r="J23" s="1164">
        <f t="shared" si="13"/>
        <v>0</v>
      </c>
      <c r="K23" s="1164">
        <f t="shared" si="13"/>
        <v>0</v>
      </c>
      <c r="L23" s="1164">
        <f t="shared" si="13"/>
        <v>84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2864</v>
      </c>
      <c r="X23" s="1164">
        <f t="shared" si="14"/>
        <v>88</v>
      </c>
      <c r="Y23" s="1165">
        <f t="shared" si="14"/>
        <v>2952</v>
      </c>
      <c r="Z23" s="1165">
        <f t="shared" si="14"/>
        <v>0</v>
      </c>
      <c r="AA23" s="1165">
        <f t="shared" si="14"/>
        <v>1152</v>
      </c>
      <c r="AB23" s="1165">
        <f t="shared" si="14"/>
        <v>94</v>
      </c>
      <c r="AC23" s="1165">
        <f t="shared" si="14"/>
        <v>1246</v>
      </c>
      <c r="AD23" s="1165">
        <f t="shared" si="14"/>
        <v>0</v>
      </c>
      <c r="AE23" s="1169">
        <f t="shared" si="14"/>
        <v>0</v>
      </c>
      <c r="AF23" s="1162">
        <f t="shared" si="14"/>
        <v>0</v>
      </c>
      <c r="AG23" s="1170">
        <f t="shared" si="14"/>
        <v>0</v>
      </c>
      <c r="AH23" s="1167">
        <f t="shared" si="14"/>
        <v>0</v>
      </c>
      <c r="AI23" s="1162">
        <f t="shared" si="14"/>
        <v>578</v>
      </c>
      <c r="AJ23" s="1164">
        <f t="shared" si="14"/>
        <v>0</v>
      </c>
      <c r="AK23" s="1167">
        <f t="shared" si="14"/>
        <v>0</v>
      </c>
      <c r="AL23" s="1171">
        <f>IF(ISNUMBER(NºAsuntos!G23/NºAsuntos!E23),NºAsuntos!G23/NºAsuntos!E23," - ")</f>
        <v>0.91971740526653822</v>
      </c>
      <c r="AM23" s="1171">
        <f>IF(ISNUMBER(((NºAsuntos!I23/NºAsuntos!G23)*11)/factor_trimestre),((NºAsuntos!I23/NºAsuntos!G23)*11)/factor_trimestre," - ")</f>
        <v>4.4245810055865924</v>
      </c>
      <c r="AN23" s="1172">
        <f>IF(ISNUMBER('Resol  Asuntos'!D23/NºAsuntos!G23),'Resol  Asuntos'!D23/NºAsuntos!G23," - ")</f>
        <v>0.20181564245810055</v>
      </c>
      <c r="AO23" s="1173">
        <f>IF(ISNUMBER((NºAsuntos!C23+NºAsuntos!E23)/NºAsuntos!G23),(NºAsuntos!C23+NºAsuntos!E23)/NºAsuntos!G23," - ")</f>
        <v>1.3669692737430168</v>
      </c>
      <c r="AP23" s="1174" t="str">
        <f t="shared" si="2"/>
        <v xml:space="preserve"> - </v>
      </c>
      <c r="AQ23" s="1174">
        <f>IF(ISNUMBER((H23-W23+K23)/(F23)),(H23-W23+K23)/(F23)," - ")</f>
        <v>-3.3109826589595377</v>
      </c>
      <c r="AR23" s="1175">
        <f>IF(ISNUMBER((Datos!P23-Datos!Q23)/(Datos!R23-Datos!P23+Datos!Q23)),(Datos!P23-Datos!Q23)/(Datos!R23-Datos!P23+Datos!Q23)," - ")</f>
        <v>-4.0816326530612242E-2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897</v>
      </c>
      <c r="G31" s="1118">
        <f t="shared" si="20"/>
        <v>833</v>
      </c>
      <c r="H31" s="1117">
        <f t="shared" si="20"/>
        <v>0</v>
      </c>
      <c r="I31" s="1119">
        <f t="shared" si="20"/>
        <v>0</v>
      </c>
      <c r="J31" s="1119">
        <f t="shared" si="20"/>
        <v>0</v>
      </c>
      <c r="K31" s="1180">
        <f t="shared" si="20"/>
        <v>0</v>
      </c>
      <c r="L31" s="1119">
        <f t="shared" si="20"/>
        <v>683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2888</v>
      </c>
      <c r="X31" s="1118">
        <f t="shared" si="21"/>
        <v>818</v>
      </c>
      <c r="Y31" s="1125">
        <f t="shared" si="21"/>
        <v>3706</v>
      </c>
      <c r="Z31" s="1125">
        <f t="shared" si="21"/>
        <v>0</v>
      </c>
      <c r="AA31" s="1125">
        <f t="shared" si="21"/>
        <v>1182</v>
      </c>
      <c r="AB31" s="1125">
        <f t="shared" si="21"/>
        <v>2974</v>
      </c>
      <c r="AC31" s="1125">
        <f t="shared" si="21"/>
        <v>1297</v>
      </c>
      <c r="AD31" s="1125">
        <f t="shared" si="21"/>
        <v>0</v>
      </c>
      <c r="AE31" s="1127">
        <f t="shared" si="21"/>
        <v>0</v>
      </c>
      <c r="AF31" s="1128">
        <f t="shared" si="21"/>
        <v>0</v>
      </c>
      <c r="AG31" s="1129">
        <f t="shared" si="21"/>
        <v>0</v>
      </c>
      <c r="AH31" s="1127">
        <f t="shared" si="21"/>
        <v>0</v>
      </c>
      <c r="AI31" s="1117">
        <f t="shared" si="21"/>
        <v>1169</v>
      </c>
      <c r="AJ31" s="1117">
        <f t="shared" si="21"/>
        <v>0</v>
      </c>
      <c r="AK31" s="1127">
        <f t="shared" si="21"/>
        <v>0</v>
      </c>
      <c r="AL31" s="1183">
        <f>IF(ISNUMBER(NºAsuntos!G31/NºAsuntos!E31),NºAsuntos!G31/NºAsuntos!E31," - ")</f>
        <v>0.92705842159207374</v>
      </c>
      <c r="AM31" s="1184">
        <f>IF(ISNUMBER(((NºAsuntos!I31/NºAsuntos!G31)*11)/factor_trimestre),((NºAsuntos!I31/NºAsuntos!G31)*11)/factor_trimestre," - ")</f>
        <v>6.4090657822001109</v>
      </c>
      <c r="AN31" s="1184">
        <f>IF(ISNUMBER('Resol  Asuntos'!D31/NºAsuntos!G31),'Resol  Asuntos'!D31/NºAsuntos!G31," - ")</f>
        <v>0.2154044591855537</v>
      </c>
      <c r="AO31" s="1185">
        <f>IF(ISNUMBER((NºAsuntos!C31+NºAsuntos!E31)/NºAsuntos!G31),(NºAsuntos!C31+NºAsuntos!E31)/NºAsuntos!G31," - ")</f>
        <v>1.5682697622996131</v>
      </c>
      <c r="AP31" s="1186" t="str">
        <f t="shared" si="2"/>
        <v xml:space="preserve"> - </v>
      </c>
      <c r="AQ31" s="1187">
        <f>IF(OR(ISNUMBER(FIND("01",Criterios!A8,1)),ISNUMBER(FIND("02",Criterios!A8,1)),ISNUMBER(FIND("03",Criterios!A8,1)),ISNUMBER(FIND("04",Criterios!A8,1))),(I31-W31+K31)/(F31-K31),(H31-W31+K31)/(F31-K31))</f>
        <v>-3.2196209587513933</v>
      </c>
      <c r="AR31" s="1188">
        <f>IF(ISNUMBER((Datos!P31-Datos!Q31)/(Datos!R31-Datos!P31+Datos!Q31)),(Datos!P31-Datos!Q31)/(Datos!R31-Datos!P31+Datos!Q31)," - ")</f>
        <v>-4.3422322290125444E-2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438.65521768240711</v>
      </c>
      <c r="G33" s="277">
        <f>IF(ISNUMBER(STDEV(G8:G30)),STDEV(G8:G30),"-")</f>
        <v>372.4258315423354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1303.9876569675841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309.02369303524745</v>
      </c>
      <c r="AJ33" s="276">
        <f t="shared" si="25"/>
        <v>0</v>
      </c>
      <c r="AK33" s="278">
        <f t="shared" si="25"/>
        <v>0</v>
      </c>
      <c r="AL33" s="273">
        <f t="shared" si="25"/>
        <v>6.6300037575936457E-2</v>
      </c>
      <c r="AM33" s="274">
        <f t="shared" si="25"/>
        <v>4.1837375990181824</v>
      </c>
      <c r="AN33" s="274">
        <f t="shared" si="25"/>
        <v>7.8286681093877764E-2</v>
      </c>
      <c r="AO33" s="275">
        <f t="shared" si="25"/>
        <v>0.3909094026236879</v>
      </c>
      <c r="AP33" s="317" t="str">
        <f t="shared" si="25"/>
        <v>-</v>
      </c>
      <c r="AQ33" s="318">
        <f t="shared" si="25"/>
        <v>1.8108882046514445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qlJNp0axAIS24PUoLkMSDBSgJ82vkq0pRzOPIUbFv2gFMDvLHg1PUHlntDdQNVGA8f/Etij1w7KGeBlnYkxydw==" saltValue="MWuGwV40DpFS1QfYIjCL7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SANT FELIU DE GUIXOLS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6.6666666666666666E-2</v>
      </c>
      <c r="E10" s="393">
        <f>IF(ISNUMBER((Datos!J10-Datos!T10)/Datos!T10),(Datos!J10-Datos!T10)/Datos!T10," - ")</f>
        <v>-0.29032258064516131</v>
      </c>
      <c r="F10" s="393">
        <f>IF(ISNUMBER((Datos!K10-Datos!U10)/Datos!U10),(Datos!K10-Datos!U10)/Datos!U10," - ")</f>
        <v>-0.17241379310344829</v>
      </c>
      <c r="G10" s="394">
        <f>IF(ISNUMBER((Datos!L10-Datos!V10)/Datos!V10),(Datos!L10-Datos!V10)/Datos!V10," - ")</f>
        <v>-6.25E-2</v>
      </c>
      <c r="H10" s="244">
        <f>IF(ISNUMBER((Datos!M10-Datos!W10)/Datos!W10),(Datos!M10-Datos!W10)/Datos!W10," - ")</f>
        <v>-0.375</v>
      </c>
      <c r="I10" s="395">
        <f>IF(ISNUMBER((Tasas!C10-Datos!BE10)/Datos!BE10),(Tasas!C10-Datos!BE10)/Datos!BE10," - ")</f>
        <v>0.13281250000000003</v>
      </c>
      <c r="J10" s="394">
        <f>IF(ISNUMBER((Tasas!D10-Datos!BF10)/Datos!BF10),(Tasas!D10-Datos!BF10)/Datos!BF10," - ")</f>
        <v>-0.24479166666666663</v>
      </c>
      <c r="K10" s="396">
        <f>IF(ISNUMBER((Tasas!E10-Datos!BG10)/Datos!BG10),(Tasas!E10-Datos!BG10)/Datos!BG10," - ")</f>
        <v>6.9672131147540992E-2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0.14007782101167315</v>
      </c>
      <c r="I12" s="395">
        <f>IF(ISNUMBER((Tasas!C12-Datos!BE12)/Datos!BE12),(Tasas!C12-Datos!BE12)/Datos!BE12," - ")</f>
        <v>-7.0526108496921702E-2</v>
      </c>
      <c r="J12" s="394">
        <f>IF(ISNUMBER((Tasas!D12-Datos!BF12)/Datos!BF12),(Tasas!D12-Datos!BF12)/Datos!BF12," - ")</f>
        <v>-0.34152470799361972</v>
      </c>
      <c r="K12" s="396">
        <f>IF(ISNUMBER((Tasas!E12-Datos!BG12)/Datos!BG12),(Tasas!E12-Datos!BG12)/Datos!BG12," - ")</f>
        <v>-2.7250135504932493E-2</v>
      </c>
      <c r="M12" t="e">
        <f>IF(Monitorios="SI",Datos!CE12,0)</f>
        <v>#REF!</v>
      </c>
      <c r="N12" t="e">
        <f>IF(Monitorios="SI",Datos!CF12,0)</f>
        <v>#REF!</v>
      </c>
      <c r="O12" t="e">
        <f>IF(Monitorios="SI",Datos!CG12,0)</f>
        <v>#REF!</v>
      </c>
      <c r="P12" t="e">
        <f>IF(Monitorios="SI",Datos!CH12,0)</f>
        <v>#REF!</v>
      </c>
      <c r="Q12">
        <f>IF(J_V="SI",0,Datos!AG12)</f>
        <v>28</v>
      </c>
      <c r="R12">
        <f>IF(J_V="SI",0,Datos!AH12)</f>
        <v>109</v>
      </c>
      <c r="S12">
        <f>IF(J_V="SI",0,Datos!AI12)</f>
        <v>111</v>
      </c>
      <c r="T12">
        <f>IF(J_V="SI",0,Datos!AJ12)</f>
        <v>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0.13218390804597702</v>
      </c>
      <c r="I14" s="402">
        <f>IF(ISNUMBER((Tasas!C14-Datos!BE14)/Datos!BE14),(Tasas!C14-Datos!BE14)/Datos!BE14," - ")</f>
        <v>-6.9140840475197543E-2</v>
      </c>
      <c r="J14" s="400">
        <f>IF(ISNUMBER((Tasas!D14-Datos!BF14)/Datos!BF14),(Tasas!D14-Datos!BF14)/Datos!BF14," - ")</f>
        <v>-0.34027544831290446</v>
      </c>
      <c r="K14" s="403">
        <f>IF(ISNUMBER((Tasas!E14-Datos!BG14)/Datos!BG14),(Tasas!E14-Datos!BG14)/Datos!BG14," - ")</f>
        <v>-2.6744515662799295E-2</v>
      </c>
      <c r="M14" t="e">
        <f>IF(Monitorios="SI",Datos!CE14,0)</f>
        <v>#REF!</v>
      </c>
      <c r="N14" t="e">
        <f>IF(Monitorios="SI",Datos!CF14,0)</f>
        <v>#REF!</v>
      </c>
      <c r="O14" t="e">
        <f>IF(Monitorios="SI",Datos!CG14,0)</f>
        <v>#REF!</v>
      </c>
      <c r="P14" t="e">
        <f>IF(Monitorios="SI",Datos!CH14,0)</f>
        <v>#REF!</v>
      </c>
      <c r="Q14">
        <f>IF(J_V="SI",0,Datos!AG14)</f>
        <v>28</v>
      </c>
      <c r="R14">
        <f>IF(J_V="SI",0,Datos!AH14)</f>
        <v>109</v>
      </c>
      <c r="S14">
        <f>IF(J_V="SI",0,Datos!AI14)</f>
        <v>111</v>
      </c>
      <c r="T14">
        <f>IF(J_V="SI",0,Datos!AJ14)</f>
        <v>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7.9155672823219003E-3</v>
      </c>
      <c r="E17" s="393">
        <f>IF(ISNUMBER(
   IF(D_I="SI",(Datos!J17-Datos!T17)/Datos!T17,(Datos!J17+Datos!AD17-(Datos!T17+Datos!AL17))/(Datos!T17+Datos!AL17))
     ),IF(D_I="SI",(Datos!J17-Datos!T17)/Datos!T17,(Datos!J17+Datos!AD17-(Datos!T17+Datos!AL17))/(Datos!T17+Datos!AL17))," - ")</f>
        <v>9.295120061967467E-2</v>
      </c>
      <c r="F17" s="393">
        <f>IF(ISNUMBER(
   IF(D_I="SI",(Datos!K17-Datos!U17)/Datos!U17,(Datos!K17+Datos!AE17-(Datos!U17+Datos!AM17))/(Datos!U17+Datos!AM17))
     ),IF(D_I="SI",(Datos!K17-Datos!U17)/Datos!U17,(Datos!K17+Datos!AE17-(Datos!U17+Datos!AM17))/(Datos!U17+Datos!AM17))," - ")</f>
        <v>-7.6745970836531079E-3</v>
      </c>
      <c r="G17" s="394">
        <f>IF(ISNUMBER(
   IF(D_I="SI",(Datos!L17-Datos!V17)/Datos!V17,(Datos!L17+Datos!AF17-(Datos!V17+Datos!AN17))/(Datos!V17+Datos!AN17))
     ),IF(D_I="SI",(Datos!L17-Datos!V17)/Datos!V17,(Datos!L17+Datos!AF17-(Datos!V17+Datos!AN17))/(Datos!V17+Datos!AN17))," - ")</f>
        <v>0.44109947643979058</v>
      </c>
      <c r="H17" s="244">
        <f>IF(ISNUMBER((Datos!M17-Datos!W17)/Datos!W17),(Datos!M17-Datos!W17)/Datos!W17," - ")</f>
        <v>0.14688128772635814</v>
      </c>
      <c r="I17" s="395">
        <f>IF(ISNUMBER((Tasas!C17-Datos!BE17)/Datos!BE17),(Tasas!C17-Datos!BE17)/Datos!BE17," - ")</f>
        <v>0.4522448706891315</v>
      </c>
      <c r="J17" s="394">
        <f>IF(ISNUMBER((Tasas!D17-Datos!BF17)/Datos!BF17),(Tasas!D17-Datos!BF17)/Datos!BF17," - ")</f>
        <v>0.15575121261209954</v>
      </c>
      <c r="K17" s="396">
        <f>IF(ISNUMBER((Tasas!E17-Datos!BG17)/Datos!BG17),(Tasas!E17-Datos!BG17)/Datos!BG17," - ")</f>
        <v>8.1956273068711866E-2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-0.21276595744680851</v>
      </c>
      <c r="E18" s="393">
        <f>IF(ISNUMBER(
   IF(D_I="SI",(Datos!J18-Datos!T18)/Datos!T18,(Datos!J18+Datos!AD18-(Datos!T18+Datos!AL18))/(Datos!T18+Datos!AL18))
     ),IF(D_I="SI",(Datos!J18-Datos!T18)/Datos!T18,(Datos!J18+Datos!AD18-(Datos!T18+Datos!AL18))/(Datos!T18+Datos!AL18))," - ")</f>
        <v>0.1541501976284585</v>
      </c>
      <c r="F18" s="393">
        <f>IF(ISNUMBER(
   IF(D_I="SI",(Datos!K18-Datos!U18)/Datos!U18,(Datos!K18+Datos!AE18-(Datos!U18+Datos!AM18))/(Datos!U18+Datos!AM18))
     ),IF(D_I="SI",(Datos!K18-Datos!U18)/Datos!U18,(Datos!K18+Datos!AE18-(Datos!U18+Datos!AM18))/(Datos!U18+Datos!AM18))," - ")</f>
        <v>4.5112781954887216E-2</v>
      </c>
      <c r="G18" s="394">
        <f>IF(ISNUMBER(
   IF(D_I="SI",(Datos!L18-Datos!V18)/Datos!V18,(Datos!L18+Datos!AF18-(Datos!V18+Datos!AN18))/(Datos!V18+Datos!AN18))
     ),IF(D_I="SI",(Datos!L18-Datos!V18)/Datos!V18,(Datos!L18+Datos!AF18-(Datos!V18+Datos!AN18))/(Datos!V18+Datos!AN18))," - ")</f>
        <v>0.3783783783783784</v>
      </c>
      <c r="H18" s="244">
        <f>IF(ISNUMBER((Datos!M18-Datos!W18)/Datos!W18),(Datos!M18-Datos!W18)/Datos!W18," - ")</f>
        <v>-0.27272727272727271</v>
      </c>
      <c r="I18" s="395">
        <f>IF(ISNUMBER((Tasas!C18-Datos!BE18)/Datos!BE18),(Tasas!C18-Datos!BE18)/Datos!BE18," - ")</f>
        <v>0.31888003111024699</v>
      </c>
      <c r="J18" s="394">
        <f>IF(ISNUMBER((Tasas!D18-Datos!BF18)/Datos!BF18),(Tasas!D18-Datos!BF18)/Datos!BF18," - ")</f>
        <v>-0.30412034009156302</v>
      </c>
      <c r="K18" s="396">
        <f>IF(ISNUMBER((Tasas!E18-Datos!BG18)/Datos!BG18),(Tasas!E18-Datos!BG18)/Datos!BG18," - ")</f>
        <v>4.9328537170263718E-2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-4.9689440993788822E-3</v>
      </c>
      <c r="E23" s="399">
        <f>IF(ISNUMBER(
   IF(D_I="SI",(Datos!J23-Datos!T23)/Datos!T23,(Datos!J23+Datos!AD23-(Datos!T23+Datos!AL23))/(Datos!T23+Datos!AL23))
     ),IF(D_I="SI",(Datos!J23-Datos!T23)/Datos!T23,(Datos!J23+Datos!AD23-(Datos!T23+Datos!AL23))/(Datos!T23+Datos!AL23))," - ")</f>
        <v>9.841269841269841E-2</v>
      </c>
      <c r="F23" s="399">
        <f>IF(ISNUMBER(
   IF(D_I="SI",(Datos!K23-Datos!U23)/Datos!U23,(Datos!K23+Datos!AE23-(Datos!U23+Datos!AM23))/(Datos!U23+Datos!AM23))
     ),IF(D_I="SI",(Datos!K23-Datos!U23)/Datos!U23,(Datos!K23+Datos!AE23-(Datos!U23+Datos!AM23))/(Datos!U23+Datos!AM23))," - ")</f>
        <v>-2.7855153203342618E-3</v>
      </c>
      <c r="G23" s="400">
        <f>IF(ISNUMBER(
   IF(D_I="SI",(Datos!L23-Datos!V23)/Datos!V23,(Datos!L23+Datos!AF23-(Datos!V23+Datos!AN23))/(Datos!V23+Datos!AN23))
     ),IF(D_I="SI",(Datos!L23-Datos!V23)/Datos!V23,(Datos!L23+Datos!AF23-(Datos!V23+Datos!AN23))/(Datos!V23+Datos!AN23))," - ")</f>
        <v>0.43820224719101125</v>
      </c>
      <c r="H23" s="401">
        <f>IF(ISNUMBER((Datos!M23-Datos!W23)/Datos!W23),(Datos!M23-Datos!W23)/Datos!W23," - ")</f>
        <v>0.13779527559055119</v>
      </c>
      <c r="I23" s="402">
        <f>IF(ISNUMBER((Tasas!C23-Datos!BE23)/Datos!BE23),(Tasas!C23-Datos!BE23)/Datos!BE23," - ")</f>
        <v>0.44221957190383532</v>
      </c>
      <c r="J23" s="400">
        <f>IF(ISNUMBER((Tasas!D23-Datos!BF23)/Datos!BF23),(Tasas!D23-Datos!BF23)/Datos!BF23," - ")</f>
        <v>0.14097347468437951</v>
      </c>
      <c r="K23" s="403">
        <f>IF(ISNUMBER((Tasas!E23-Datos!BG23)/Datos!BG23),(Tasas!E23-Datos!BG23)/Datos!BG23," - ")</f>
        <v>7.8553778623611098E-2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0.12489415749364945</v>
      </c>
      <c r="E31" s="409">
        <f>IF(ISNUMBER(
   IF(J_V="SI",(Datos!J31-Datos!T31)/Datos!T31,(Datos!J31+Datos!Z31-(Datos!T31+Datos!AH31))/(Datos!T31+Datos!AH31))
     ),IF(J_V="SI",(Datos!J31-Datos!T31)/Datos!T31,(Datos!J31+Datos!Z31-(Datos!T31+Datos!AH31))/(Datos!T31+Datos!AH31))," - ")</f>
        <v>9.6870901255386915E-2</v>
      </c>
      <c r="F31" s="409">
        <f>IF(ISNUMBER(
   IF(J_V="SI",(Datos!K31-Datos!U31)/Datos!U31,(Datos!K31+Datos!AA31-(Datos!U31+Datos!AI31))/(Datos!U31+Datos!AI31))
     ),IF(J_V="SI",(Datos!K31-Datos!U31)/Datos!U31,(Datos!K31+Datos!AA31-(Datos!U31+Datos!AI31))/(Datos!U31+Datos!AI31))," - ")</f>
        <v>6.9359605911330044E-2</v>
      </c>
      <c r="G31" s="410">
        <f>IF(ISNUMBER(
   IF(J_V="SI",(Datos!L31-Datos!V31)/Datos!V31,(Datos!L31+Datos!AB31-(Datos!V31+Datos!AJ31))/(Datos!V31+Datos!AJ31))
     ),IF(J_V="SI",(Datos!L31-Datos!V31)/Datos!V31,(Datos!L31+Datos!AB31-(Datos!V31+Datos!AJ31))/(Datos!V31+Datos!AJ31))," - ")</f>
        <v>0.1900639819345126</v>
      </c>
      <c r="H31" s="411">
        <f>IF(ISNUMBER((Datos!M31-Datos!W31)/Datos!W31),(Datos!M31-Datos!W31)/Datos!W31," - ")</f>
        <v>0.13495145631067962</v>
      </c>
      <c r="I31" s="408">
        <f>IF(ISNUMBER((Tasas!C31-Datos!BE31)/Datos!BE31),(Tasas!C31-Datos!BE31)/Datos!BE31," - ")</f>
        <v>0.11287538388016437</v>
      </c>
      <c r="J31" s="409">
        <f>IF(ISNUMBER((Tasas!D31-Datos!BF31)/Datos!BF31),(Tasas!D31-Datos!BF31)/Datos!BF31," - ")</f>
        <v>-0.14461844259257819</v>
      </c>
      <c r="K31" s="410">
        <f>IF(ISNUMBER((Tasas!E31-Datos!BG31)/Datos!BG31),(Tasas!E31-Datos!BG31)/Datos!BG31," - ")</f>
        <v>3.3766598736269172E-2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0.12203547591242579</v>
      </c>
      <c r="E33" s="303">
        <f t="shared" si="1"/>
        <v>0.20462399933116326</v>
      </c>
      <c r="F33" s="303">
        <f t="shared" si="1"/>
        <v>9.5015447679853565E-2</v>
      </c>
      <c r="G33" s="304">
        <f t="shared" si="1"/>
        <v>0.24259193152513833</v>
      </c>
      <c r="H33" s="310">
        <f t="shared" si="1"/>
        <v>0.24136587342673643</v>
      </c>
      <c r="I33" s="302">
        <f t="shared" si="1"/>
        <v>0.23939864873273314</v>
      </c>
      <c r="J33" s="303">
        <f t="shared" si="1"/>
        <v>0.23815198572938909</v>
      </c>
      <c r="K33" s="304">
        <f t="shared" si="1"/>
        <v>5.129644572757909E-2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JsLR3SuFf+ag+WbqvLJmPzcTEL2y572CQ+KCD1dJb8dEwQ8W5noV2DpoOGWVixkMik41f8zmTq5DbdKt9dELQ==" saltValue="9GBCW59w0aztQNymsHFZK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